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Break-even" sheetId="2" state="visible" r:id="rId2"/>
    <sheet xmlns:r="http://schemas.openxmlformats.org/officeDocument/2006/relationships" name="Price sensitivity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£#,##0"/>
    <numFmt numFmtId="165" formatCode="£#,##0.00"/>
    <numFmt numFmtId="166" formatCode="0.0%"/>
    <numFmt numFmtId="167" formatCode="£#,##0;[Red]-£#,##0"/>
  </numFmts>
  <fonts count="6">
    <font>
      <name val="Calibri"/>
      <family val="2"/>
      <color theme="1"/>
      <sz val="11"/>
      <scheme val="minor"/>
    </font>
    <font>
      <b val="1"/>
      <color rgb="001F2937"/>
      <sz val="16"/>
    </font>
    <font>
      <color rgb="006B7280"/>
      <sz val="10"/>
    </font>
    <font>
      <b val="1"/>
    </font>
    <font>
      <color rgb="002563EB"/>
      <sz val="10"/>
      <u val="single"/>
    </font>
    <font>
      <b val="1"/>
      <color rgb="00FFFFFF"/>
      <sz val="11"/>
    </font>
  </fonts>
  <fills count="4">
    <fill>
      <patternFill/>
    </fill>
    <fill>
      <patternFill patternType="gray125"/>
    </fill>
    <fill>
      <patternFill patternType="solid">
        <fgColor rgb="00DBEAFE"/>
      </patternFill>
    </fill>
    <fill>
      <patternFill patternType="solid">
        <fgColor rgb="00312E81"/>
      </patternFill>
    </fill>
  </fills>
  <borders count="2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wrapText="1"/>
    </xf>
    <xf numFmtId="0" fontId="4" fillId="0" borderId="0" pivotButton="0" quotePrefix="0" xfId="0"/>
    <xf numFmtId="0" fontId="4" fillId="0" borderId="0" applyAlignment="1" pivotButton="0" quotePrefix="0" xfId="0">
      <alignment wrapText="1"/>
    </xf>
    <xf numFmtId="164" fontId="3" fillId="2" borderId="1" pivotButton="0" quotePrefix="0" xfId="0"/>
    <xf numFmtId="0" fontId="5" fillId="3" borderId="1" applyAlignment="1" pivotButton="0" quotePrefix="0" xfId="0">
      <alignment horizontal="center" vertical="center" wrapText="1"/>
    </xf>
    <xf numFmtId="165" fontId="3" fillId="2" borderId="1" pivotButton="0" quotePrefix="0" xfId="0"/>
    <xf numFmtId="0" fontId="0" fillId="0" borderId="1" pivotButton="0" quotePrefix="0" xfId="0"/>
    <xf numFmtId="164" fontId="0" fillId="0" borderId="1" pivotButton="0" quotePrefix="0" xfId="0"/>
    <xf numFmtId="167" fontId="0" fillId="0" borderId="1" pivotButton="0" quotePrefix="0" xfId="0"/>
    <xf numFmtId="165" fontId="3" fillId="0" borderId="1" pivotButton="0" quotePrefix="0" xfId="0"/>
    <xf numFmtId="166" fontId="3" fillId="0" borderId="1" pivotButton="0" quotePrefix="0" xfId="0"/>
    <xf numFmtId="3" fontId="3" fillId="0" borderId="1" pivotButton="0" quotePrefix="0" xfId="0"/>
    <xf numFmtId="164" fontId="3" fillId="0" borderId="1" pivotButton="0" quotePrefix="0" xfId="0"/>
    <xf numFmtId="164" fontId="5" fillId="3" borderId="1" applyAlignment="1" pivotButton="0" quotePrefix="0" xfId="0">
      <alignment horizontal="center" vertical="center" wrapText="1"/>
    </xf>
    <xf numFmtId="164" fontId="3" fillId="0" borderId="0" pivotButton="0" quotePrefix="0" xfId="0"/>
    <xf numFmtId="3" fontId="0" fillId="0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Revenue vs total cost</a:t>
            </a:r>
          </a:p>
        </rich>
      </tx>
    </title>
    <plotArea>
      <lineChart>
        <grouping val="standard"/>
        <ser>
          <idx val="0"/>
          <order val="0"/>
          <tx>
            <strRef>
              <f>'Break-even'!E5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'Break-even'!$D$6:$D$26</f>
            </numRef>
          </cat>
          <val>
            <numRef>
              <f>'Break-even'!$E$6:$E$26</f>
            </numRef>
          </val>
        </ser>
        <ser>
          <idx val="1"/>
          <order val="1"/>
          <tx>
            <strRef>
              <f>'Break-even'!F5</f>
            </strRef>
          </tx>
          <spPr>
            <a:ln xmlns:a="http://schemas.openxmlformats.org/drawingml/2006/main">
              <a:prstDash val="solid"/>
            </a:ln>
          </spPr>
          <marker>
            <symbol val="none"/>
            <spPr>
              <a:ln xmlns:a="http://schemas.openxmlformats.org/drawingml/2006/main">
                <a:prstDash val="solid"/>
              </a:ln>
            </spPr>
          </marker>
          <cat>
            <numRef>
              <f>'Break-even'!$D$6:$D$26</f>
            </numRef>
          </cat>
          <val>
            <numRef>
              <f>'Break-even'!$F$6:$F$26</f>
            </numRef>
          </val>
        </ser>
        <axId val="10"/>
        <axId val="100"/>
      </lineChart>
      <catAx>
        <axId val="10"/>
        <scaling>
          <orientation val="minMax"/>
        </scaling>
        <axPos val="l"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Units</a:t>
                </a:r>
              </a:p>
            </rich>
          </tx>
        </title>
        <majorTickMark val="none"/>
        <minorTickMark val="none"/>
        <crossAx val="100"/>
        <lblOffset val="100"/>
      </catAx>
      <valAx>
        <axId val="100"/>
        <scaling>
          <orientation val="minMax"/>
        </scaling>
        <axPos val="l"/>
        <majorGridlines/>
        <title>
          <tx>
            <rich>
              <a:bodyPr xmlns:a="http://schemas.openxmlformats.org/drawingml/2006/main"/>
              <a:p xmlns:a="http://schemas.openxmlformats.org/drawingml/2006/main">
                <a:pPr>
                  <a:defRPr/>
                </a:pPr>
                <a:r>
                  <a:t>£</a:t>
                </a:r>
              </a:p>
            </rich>
          </tx>
        </title>
        <majorTickMark val="none"/>
        <minorTickMark val="none"/>
        <crossAx val="10"/>
      </valAx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8</col>
      <colOff>0</colOff>
      <row>4</row>
      <rowOff>0</rowOff>
    </from>
    <ext cx="6120000" cy="324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datahubpro.co.uk/tutorials/break-even-analysis-excel" TargetMode="External" Id="rId1"/><Relationship Type="http://schemas.openxmlformats.org/officeDocument/2006/relationships/hyperlink" Target="https://www.datahubpro.co.uk/try" TargetMode="External" Id="rId2"/><Relationship Type="http://schemas.openxmlformats.org/officeDocument/2006/relationships/hyperlink" Target="https://www.datahubpro.co.uk/templates/" TargetMode="External" Id="rId3"/></Relationships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2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96" customWidth="1" min="2" max="2"/>
  </cols>
  <sheetData>
    <row r="2">
      <c r="B2" s="1" t="inlineStr">
        <is>
          <t>Break-Even Analysis Template</t>
        </is>
      </c>
    </row>
    <row r="3">
      <c r="B3" s="2" t="inlineStr">
        <is>
          <t>Free template from DataHub Pro — use it, edit it, share it. No attribution required.</t>
        </is>
      </c>
    </row>
    <row r="5">
      <c r="B5" s="3" t="inlineStr">
        <is>
          <t>What this workbook does</t>
        </is>
      </c>
    </row>
    <row r="6">
      <c r="B6" s="4" t="inlineStr">
        <is>
          <t>•  Break-even in units and revenue from fixed costs, price and variable cost.</t>
        </is>
      </c>
    </row>
    <row r="7">
      <c r="B7" s="4" t="inlineStr">
        <is>
          <t>•  Contribution margin per unit and as a percentage.</t>
        </is>
      </c>
    </row>
    <row r="8">
      <c r="B8" s="4" t="inlineStr">
        <is>
          <t>•  A sensitivity table showing break-even across a range of prices, plus a profit chart.</t>
        </is>
      </c>
    </row>
    <row r="10">
      <c r="B10" s="3" t="inlineStr">
        <is>
          <t>How to use it</t>
        </is>
      </c>
    </row>
    <row r="11">
      <c r="B11" s="4" t="inlineStr">
        <is>
          <t>1.  Enter your fixed costs, selling price and variable cost per unit in the blue cells.</t>
        </is>
      </c>
    </row>
    <row r="12">
      <c r="B12" s="4" t="inlineStr">
        <is>
          <t>2.  Everything else calculates. The chart shows where you cross into profit.</t>
        </is>
      </c>
    </row>
    <row r="13">
      <c r="B13" s="4" t="inlineStr">
        <is>
          <t>3.  Use the sensitivity grid to test price changes before you commit.</t>
        </is>
      </c>
    </row>
    <row r="16">
      <c r="B16" s="3" t="inlineStr">
        <is>
          <t>Step-by-step guide for this template</t>
        </is>
      </c>
    </row>
    <row r="17">
      <c r="B17" s="5" t="inlineStr">
        <is>
          <t>https://www.datahubpro.co.uk/tutorials/break-even-analysis-excel</t>
        </is>
      </c>
    </row>
    <row r="19">
      <c r="B19" s="3" t="inlineStr">
        <is>
          <t>Skip the formulas entirely</t>
        </is>
      </c>
    </row>
    <row r="20">
      <c r="B20" s="6" t="inlineStr">
        <is>
          <t>Upload this file to DataHub Pro and get the dashboard, forecast and written analysis in about 60 seconds — https://www.datahubpro.co.uk/try</t>
        </is>
      </c>
    </row>
    <row r="22">
      <c r="B22" s="5" t="inlineStr">
        <is>
          <t>More free templates: https://www.datahubpro.co.uk/templates/</t>
        </is>
      </c>
    </row>
  </sheetData>
  <hyperlinks>
    <hyperlink xmlns:r="http://schemas.openxmlformats.org/officeDocument/2006/relationships" ref="B17" r:id="rId1"/>
    <hyperlink xmlns:r="http://schemas.openxmlformats.org/officeDocument/2006/relationships" ref="B20" r:id="rId2"/>
    <hyperlink xmlns:r="http://schemas.openxmlformats.org/officeDocument/2006/relationships" ref="B22" r:id="rId3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G26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9" customWidth="1" min="4" max="4"/>
    <col width="13" customWidth="1" min="5" max="5"/>
    <col width="13" customWidth="1" min="6" max="6"/>
    <col width="13" customWidth="1" min="7" max="7"/>
  </cols>
  <sheetData>
    <row r="1">
      <c r="A1" s="1" t="inlineStr">
        <is>
          <t>Break-even analysis</t>
        </is>
      </c>
    </row>
    <row r="2">
      <c r="A2" s="2" t="inlineStr">
        <is>
          <t>Blue cells are inputs. Everything else is calculated.</t>
        </is>
      </c>
    </row>
    <row r="4">
      <c r="A4" s="3" t="inlineStr">
        <is>
          <t>Inputs</t>
        </is>
      </c>
      <c r="D4" s="3" t="inlineStr">
        <is>
          <t>Profit by volume</t>
        </is>
      </c>
    </row>
    <row r="5" ht="26" customHeight="1">
      <c r="A5" t="inlineStr">
        <is>
          <t>Fixed costs (per month)</t>
        </is>
      </c>
      <c r="B5" s="7" t="n">
        <v>48000</v>
      </c>
      <c r="D5" s="8" t="inlineStr">
        <is>
          <t>Units</t>
        </is>
      </c>
      <c r="E5" s="8" t="inlineStr">
        <is>
          <t>Revenue</t>
        </is>
      </c>
      <c r="F5" s="8" t="inlineStr">
        <is>
          <t>Total cost</t>
        </is>
      </c>
      <c r="G5" s="8" t="inlineStr">
        <is>
          <t>Profit</t>
        </is>
      </c>
    </row>
    <row r="6">
      <c r="A6" t="inlineStr">
        <is>
          <t>Selling price per unit</t>
        </is>
      </c>
      <c r="B6" s="9" t="n">
        <v>129</v>
      </c>
      <c r="D6" s="10" t="n">
        <v>0</v>
      </c>
      <c r="E6" s="11">
        <f>D6*$B$6</f>
        <v/>
      </c>
      <c r="F6" s="11">
        <f>$B$5+D6*$B$7</f>
        <v/>
      </c>
      <c r="G6" s="12">
        <f>E6-F6</f>
        <v/>
      </c>
    </row>
    <row r="7">
      <c r="A7" t="inlineStr">
        <is>
          <t>Variable cost per unit</t>
        </is>
      </c>
      <c r="B7" s="9" t="n">
        <v>54</v>
      </c>
      <c r="D7" s="10" t="n">
        <v>100</v>
      </c>
      <c r="E7" s="11">
        <f>D7*$B$6</f>
        <v/>
      </c>
      <c r="F7" s="11">
        <f>$B$5+D7*$B$7</f>
        <v/>
      </c>
      <c r="G7" s="12">
        <f>E7-F7</f>
        <v/>
      </c>
    </row>
    <row r="8">
      <c r="D8" s="10" t="n">
        <v>200</v>
      </c>
      <c r="E8" s="11">
        <f>D8*$B$6</f>
        <v/>
      </c>
      <c r="F8" s="11">
        <f>$B$5+D8*$B$7</f>
        <v/>
      </c>
      <c r="G8" s="12">
        <f>E8-F8</f>
        <v/>
      </c>
    </row>
    <row r="9">
      <c r="A9" s="3" t="inlineStr">
        <is>
          <t>Results</t>
        </is>
      </c>
      <c r="D9" s="10" t="n">
        <v>300</v>
      </c>
      <c r="E9" s="11">
        <f>D9*$B$6</f>
        <v/>
      </c>
      <c r="F9" s="11">
        <f>$B$5+D9*$B$7</f>
        <v/>
      </c>
      <c r="G9" s="12">
        <f>E9-F9</f>
        <v/>
      </c>
    </row>
    <row r="10">
      <c r="A10" t="inlineStr">
        <is>
          <t>Contribution per unit</t>
        </is>
      </c>
      <c r="B10" s="13">
        <f>B6-B7</f>
        <v/>
      </c>
      <c r="D10" s="10" t="n">
        <v>400</v>
      </c>
      <c r="E10" s="11">
        <f>D10*$B$6</f>
        <v/>
      </c>
      <c r="F10" s="11">
        <f>$B$5+D10*$B$7</f>
        <v/>
      </c>
      <c r="G10" s="12">
        <f>E10-F10</f>
        <v/>
      </c>
    </row>
    <row r="11">
      <c r="A11" t="inlineStr">
        <is>
          <t>Contribution margin %</t>
        </is>
      </c>
      <c r="B11" s="14">
        <f>IFERROR((B6-B7)/B6,0)</f>
        <v/>
      </c>
      <c r="D11" s="10" t="n">
        <v>500</v>
      </c>
      <c r="E11" s="11">
        <f>D11*$B$6</f>
        <v/>
      </c>
      <c r="F11" s="11">
        <f>$B$5+D11*$B$7</f>
        <v/>
      </c>
      <c r="G11" s="12">
        <f>E11-F11</f>
        <v/>
      </c>
    </row>
    <row r="12">
      <c r="A12" t="inlineStr">
        <is>
          <t>Break-even units</t>
        </is>
      </c>
      <c r="B12" s="15">
        <f>IFERROR(ROUNDUP(B5/(B6-B7),0),0)</f>
        <v/>
      </c>
      <c r="D12" s="10" t="n">
        <v>600</v>
      </c>
      <c r="E12" s="11">
        <f>D12*$B$6</f>
        <v/>
      </c>
      <c r="F12" s="11">
        <f>$B$5+D12*$B$7</f>
        <v/>
      </c>
      <c r="G12" s="12">
        <f>E12-F12</f>
        <v/>
      </c>
    </row>
    <row r="13">
      <c r="A13" t="inlineStr">
        <is>
          <t>Break-even revenue</t>
        </is>
      </c>
      <c r="B13" s="16">
        <f>B12*B6</f>
        <v/>
      </c>
      <c r="D13" s="10" t="n">
        <v>700</v>
      </c>
      <c r="E13" s="11">
        <f>D13*$B$6</f>
        <v/>
      </c>
      <c r="F13" s="11">
        <f>$B$5+D13*$B$7</f>
        <v/>
      </c>
      <c r="G13" s="12">
        <f>E13-F13</f>
        <v/>
      </c>
    </row>
    <row r="14">
      <c r="A14" t="inlineStr">
        <is>
          <t>Margin of safety at 1,000 units</t>
        </is>
      </c>
      <c r="B14" s="14">
        <f>IFERROR((1000-B12)/1000,0)</f>
        <v/>
      </c>
      <c r="D14" s="10" t="n">
        <v>800</v>
      </c>
      <c r="E14" s="11">
        <f>D14*$B$6</f>
        <v/>
      </c>
      <c r="F14" s="11">
        <f>$B$5+D14*$B$7</f>
        <v/>
      </c>
      <c r="G14" s="12">
        <f>E14-F14</f>
        <v/>
      </c>
    </row>
    <row r="15">
      <c r="D15" s="10" t="n">
        <v>900</v>
      </c>
      <c r="E15" s="11">
        <f>D15*$B$6</f>
        <v/>
      </c>
      <c r="F15" s="11">
        <f>$B$5+D15*$B$7</f>
        <v/>
      </c>
      <c r="G15" s="12">
        <f>E15-F15</f>
        <v/>
      </c>
    </row>
    <row r="16">
      <c r="D16" s="10" t="n">
        <v>1000</v>
      </c>
      <c r="E16" s="11">
        <f>D16*$B$6</f>
        <v/>
      </c>
      <c r="F16" s="11">
        <f>$B$5+D16*$B$7</f>
        <v/>
      </c>
      <c r="G16" s="12">
        <f>E16-F16</f>
        <v/>
      </c>
    </row>
    <row r="17">
      <c r="D17" s="10" t="n">
        <v>1100</v>
      </c>
      <c r="E17" s="11">
        <f>D17*$B$6</f>
        <v/>
      </c>
      <c r="F17" s="11">
        <f>$B$5+D17*$B$7</f>
        <v/>
      </c>
      <c r="G17" s="12">
        <f>E17-F17</f>
        <v/>
      </c>
    </row>
    <row r="18">
      <c r="D18" s="10" t="n">
        <v>1200</v>
      </c>
      <c r="E18" s="11">
        <f>D18*$B$6</f>
        <v/>
      </c>
      <c r="F18" s="11">
        <f>$B$5+D18*$B$7</f>
        <v/>
      </c>
      <c r="G18" s="12">
        <f>E18-F18</f>
        <v/>
      </c>
    </row>
    <row r="19">
      <c r="D19" s="10" t="n">
        <v>1300</v>
      </c>
      <c r="E19" s="11">
        <f>D19*$B$6</f>
        <v/>
      </c>
      <c r="F19" s="11">
        <f>$B$5+D19*$B$7</f>
        <v/>
      </c>
      <c r="G19" s="12">
        <f>E19-F19</f>
        <v/>
      </c>
    </row>
    <row r="20">
      <c r="D20" s="10" t="n">
        <v>1400</v>
      </c>
      <c r="E20" s="11">
        <f>D20*$B$6</f>
        <v/>
      </c>
      <c r="F20" s="11">
        <f>$B$5+D20*$B$7</f>
        <v/>
      </c>
      <c r="G20" s="12">
        <f>E20-F20</f>
        <v/>
      </c>
    </row>
    <row r="21">
      <c r="D21" s="10" t="n">
        <v>1500</v>
      </c>
      <c r="E21" s="11">
        <f>D21*$B$6</f>
        <v/>
      </c>
      <c r="F21" s="11">
        <f>$B$5+D21*$B$7</f>
        <v/>
      </c>
      <c r="G21" s="12">
        <f>E21-F21</f>
        <v/>
      </c>
    </row>
    <row r="22">
      <c r="D22" s="10" t="n">
        <v>1600</v>
      </c>
      <c r="E22" s="11">
        <f>D22*$B$6</f>
        <v/>
      </c>
      <c r="F22" s="11">
        <f>$B$5+D22*$B$7</f>
        <v/>
      </c>
      <c r="G22" s="12">
        <f>E22-F22</f>
        <v/>
      </c>
    </row>
    <row r="23">
      <c r="D23" s="10" t="n">
        <v>1700</v>
      </c>
      <c r="E23" s="11">
        <f>D23*$B$6</f>
        <v/>
      </c>
      <c r="F23" s="11">
        <f>$B$5+D23*$B$7</f>
        <v/>
      </c>
      <c r="G23" s="12">
        <f>E23-F23</f>
        <v/>
      </c>
    </row>
    <row r="24">
      <c r="D24" s="10" t="n">
        <v>1800</v>
      </c>
      <c r="E24" s="11">
        <f>D24*$B$6</f>
        <v/>
      </c>
      <c r="F24" s="11">
        <f>$B$5+D24*$B$7</f>
        <v/>
      </c>
      <c r="G24" s="12">
        <f>E24-F24</f>
        <v/>
      </c>
    </row>
    <row r="25">
      <c r="D25" s="10" t="n">
        <v>1900</v>
      </c>
      <c r="E25" s="11">
        <f>D25*$B$6</f>
        <v/>
      </c>
      <c r="F25" s="11">
        <f>$B$5+D25*$B$7</f>
        <v/>
      </c>
      <c r="G25" s="12">
        <f>E25-F25</f>
        <v/>
      </c>
    </row>
    <row r="26">
      <c r="D26" s="10" t="n">
        <v>2000</v>
      </c>
      <c r="E26" s="11">
        <f>D26*$B$6</f>
        <v/>
      </c>
      <c r="F26" s="11">
        <f>$B$5+D26*$B$7</f>
        <v/>
      </c>
      <c r="G26" s="12">
        <f>E26-F26</f>
        <v/>
      </c>
    </row>
  </sheetData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cols>
    <col width="16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</cols>
  <sheetData>
    <row r="1">
      <c r="A1" s="1" t="inlineStr">
        <is>
          <t>Break-even units at different prices and variable costs</t>
        </is>
      </c>
    </row>
    <row r="2">
      <c r="A2" s="2" t="inlineStr">
        <is>
          <t>Rows = selling price, columns = variable cost per unit.</t>
        </is>
      </c>
    </row>
    <row r="4" ht="26" customHeight="1">
      <c r="A4" s="8" t="inlineStr">
        <is>
          <t>Price \ Var cost</t>
        </is>
      </c>
      <c r="B4" s="17" t="n">
        <v>40</v>
      </c>
      <c r="C4" s="17" t="n">
        <v>45</v>
      </c>
      <c r="D4" s="17" t="n">
        <v>50</v>
      </c>
      <c r="E4" s="17" t="n">
        <v>54</v>
      </c>
      <c r="F4" s="17" t="n">
        <v>60</v>
      </c>
      <c r="G4" s="17" t="n">
        <v>65</v>
      </c>
      <c r="H4" s="17" t="n">
        <v>70</v>
      </c>
    </row>
    <row r="5">
      <c r="A5" s="18" t="n">
        <v>99</v>
      </c>
      <c r="B5" s="19">
        <f>IFERROR(ROUNDUP('Break-even'!$B$5/(99-40),0),"n/a")</f>
        <v/>
      </c>
      <c r="C5" s="19">
        <f>IFERROR(ROUNDUP('Break-even'!$B$5/(99-45),0),"n/a")</f>
        <v/>
      </c>
      <c r="D5" s="19">
        <f>IFERROR(ROUNDUP('Break-even'!$B$5/(99-50),0),"n/a")</f>
        <v/>
      </c>
      <c r="E5" s="19">
        <f>IFERROR(ROUNDUP('Break-even'!$B$5/(99-54),0),"n/a")</f>
        <v/>
      </c>
      <c r="F5" s="19">
        <f>IFERROR(ROUNDUP('Break-even'!$B$5/(99-60),0),"n/a")</f>
        <v/>
      </c>
      <c r="G5" s="19">
        <f>IFERROR(ROUNDUP('Break-even'!$B$5/(99-65),0),"n/a")</f>
        <v/>
      </c>
      <c r="H5" s="19">
        <f>IFERROR(ROUNDUP('Break-even'!$B$5/(99-70),0),"n/a")</f>
        <v/>
      </c>
    </row>
    <row r="6">
      <c r="A6" s="18" t="n">
        <v>109</v>
      </c>
      <c r="B6" s="19">
        <f>IFERROR(ROUNDUP('Break-even'!$B$5/(109-40),0),"n/a")</f>
        <v/>
      </c>
      <c r="C6" s="19">
        <f>IFERROR(ROUNDUP('Break-even'!$B$5/(109-45),0),"n/a")</f>
        <v/>
      </c>
      <c r="D6" s="19">
        <f>IFERROR(ROUNDUP('Break-even'!$B$5/(109-50),0),"n/a")</f>
        <v/>
      </c>
      <c r="E6" s="19">
        <f>IFERROR(ROUNDUP('Break-even'!$B$5/(109-54),0),"n/a")</f>
        <v/>
      </c>
      <c r="F6" s="19">
        <f>IFERROR(ROUNDUP('Break-even'!$B$5/(109-60),0),"n/a")</f>
        <v/>
      </c>
      <c r="G6" s="19">
        <f>IFERROR(ROUNDUP('Break-even'!$B$5/(109-65),0),"n/a")</f>
        <v/>
      </c>
      <c r="H6" s="19">
        <f>IFERROR(ROUNDUP('Break-even'!$B$5/(109-70),0),"n/a")</f>
        <v/>
      </c>
    </row>
    <row r="7">
      <c r="A7" s="18" t="n">
        <v>119</v>
      </c>
      <c r="B7" s="19">
        <f>IFERROR(ROUNDUP('Break-even'!$B$5/(119-40),0),"n/a")</f>
        <v/>
      </c>
      <c r="C7" s="19">
        <f>IFERROR(ROUNDUP('Break-even'!$B$5/(119-45),0),"n/a")</f>
        <v/>
      </c>
      <c r="D7" s="19">
        <f>IFERROR(ROUNDUP('Break-even'!$B$5/(119-50),0),"n/a")</f>
        <v/>
      </c>
      <c r="E7" s="19">
        <f>IFERROR(ROUNDUP('Break-even'!$B$5/(119-54),0),"n/a")</f>
        <v/>
      </c>
      <c r="F7" s="19">
        <f>IFERROR(ROUNDUP('Break-even'!$B$5/(119-60),0),"n/a")</f>
        <v/>
      </c>
      <c r="G7" s="19">
        <f>IFERROR(ROUNDUP('Break-even'!$B$5/(119-65),0),"n/a")</f>
        <v/>
      </c>
      <c r="H7" s="19">
        <f>IFERROR(ROUNDUP('Break-even'!$B$5/(119-70),0),"n/a")</f>
        <v/>
      </c>
    </row>
    <row r="8">
      <c r="A8" s="18" t="n">
        <v>129</v>
      </c>
      <c r="B8" s="19">
        <f>IFERROR(ROUNDUP('Break-even'!$B$5/(129-40),0),"n/a")</f>
        <v/>
      </c>
      <c r="C8" s="19">
        <f>IFERROR(ROUNDUP('Break-even'!$B$5/(129-45),0),"n/a")</f>
        <v/>
      </c>
      <c r="D8" s="19">
        <f>IFERROR(ROUNDUP('Break-even'!$B$5/(129-50),0),"n/a")</f>
        <v/>
      </c>
      <c r="E8" s="19">
        <f>IFERROR(ROUNDUP('Break-even'!$B$5/(129-54),0),"n/a")</f>
        <v/>
      </c>
      <c r="F8" s="19">
        <f>IFERROR(ROUNDUP('Break-even'!$B$5/(129-60),0),"n/a")</f>
        <v/>
      </c>
      <c r="G8" s="19">
        <f>IFERROR(ROUNDUP('Break-even'!$B$5/(129-65),0),"n/a")</f>
        <v/>
      </c>
      <c r="H8" s="19">
        <f>IFERROR(ROUNDUP('Break-even'!$B$5/(129-70),0),"n/a")</f>
        <v/>
      </c>
    </row>
    <row r="9">
      <c r="A9" s="18" t="n">
        <v>139</v>
      </c>
      <c r="B9" s="19">
        <f>IFERROR(ROUNDUP('Break-even'!$B$5/(139-40),0),"n/a")</f>
        <v/>
      </c>
      <c r="C9" s="19">
        <f>IFERROR(ROUNDUP('Break-even'!$B$5/(139-45),0),"n/a")</f>
        <v/>
      </c>
      <c r="D9" s="19">
        <f>IFERROR(ROUNDUP('Break-even'!$B$5/(139-50),0),"n/a")</f>
        <v/>
      </c>
      <c r="E9" s="19">
        <f>IFERROR(ROUNDUP('Break-even'!$B$5/(139-54),0),"n/a")</f>
        <v/>
      </c>
      <c r="F9" s="19">
        <f>IFERROR(ROUNDUP('Break-even'!$B$5/(139-60),0),"n/a")</f>
        <v/>
      </c>
      <c r="G9" s="19">
        <f>IFERROR(ROUNDUP('Break-even'!$B$5/(139-65),0),"n/a")</f>
        <v/>
      </c>
      <c r="H9" s="19">
        <f>IFERROR(ROUNDUP('Break-even'!$B$5/(139-70),0),"n/a")</f>
        <v/>
      </c>
    </row>
    <row r="10">
      <c r="A10" s="18" t="n">
        <v>149</v>
      </c>
      <c r="B10" s="19">
        <f>IFERROR(ROUNDUP('Break-even'!$B$5/(149-40),0),"n/a")</f>
        <v/>
      </c>
      <c r="C10" s="19">
        <f>IFERROR(ROUNDUP('Break-even'!$B$5/(149-45),0),"n/a")</f>
        <v/>
      </c>
      <c r="D10" s="19">
        <f>IFERROR(ROUNDUP('Break-even'!$B$5/(149-50),0),"n/a")</f>
        <v/>
      </c>
      <c r="E10" s="19">
        <f>IFERROR(ROUNDUP('Break-even'!$B$5/(149-54),0),"n/a")</f>
        <v/>
      </c>
      <c r="F10" s="19">
        <f>IFERROR(ROUNDUP('Break-even'!$B$5/(149-60),0),"n/a")</f>
        <v/>
      </c>
      <c r="G10" s="19">
        <f>IFERROR(ROUNDUP('Break-even'!$B$5/(149-65),0),"n/a")</f>
        <v/>
      </c>
      <c r="H10" s="19">
        <f>IFERROR(ROUNDUP('Break-even'!$B$5/(149-70),0),"n/a")</f>
        <v/>
      </c>
    </row>
    <row r="11">
      <c r="A11" s="18" t="n">
        <v>159</v>
      </c>
      <c r="B11" s="19">
        <f>IFERROR(ROUNDUP('Break-even'!$B$5/(159-40),0),"n/a")</f>
        <v/>
      </c>
      <c r="C11" s="19">
        <f>IFERROR(ROUNDUP('Break-even'!$B$5/(159-45),0),"n/a")</f>
        <v/>
      </c>
      <c r="D11" s="19">
        <f>IFERROR(ROUNDUP('Break-even'!$B$5/(159-50),0),"n/a")</f>
        <v/>
      </c>
      <c r="E11" s="19">
        <f>IFERROR(ROUNDUP('Break-even'!$B$5/(159-54),0),"n/a")</f>
        <v/>
      </c>
      <c r="F11" s="19">
        <f>IFERROR(ROUNDUP('Break-even'!$B$5/(159-60),0),"n/a")</f>
        <v/>
      </c>
      <c r="G11" s="19">
        <f>IFERROR(ROUNDUP('Break-even'!$B$5/(159-65),0),"n/a")</f>
        <v/>
      </c>
      <c r="H11" s="19">
        <f>IFERROR(ROUNDUP('Break-even'!$B$5/(159-70),0),"n/a")</f>
        <v/>
      </c>
    </row>
  </sheetData>
  <conditionalFormatting sqref="B5:H11">
    <cfRule type="colorScale" priority="1">
      <colorScale>
        <cfvo type="min"/>
        <cfvo type="max"/>
        <color rgb="0063BE7B"/>
        <color rgb="00F8696B"/>
      </colorScale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2026-07-26T19:56:22Z</dcterms:created>
  <dcterms:modified xmlns:dcterms="http://purl.org/dc/terms/" xmlns:xsi="http://www.w3.org/2001/XMLSchema-instance" xsi:type="dcterms:W3CDTF">2026-07-26T19:56:22Z</dcterms:modified>
</cp:coreProperties>
</file>