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Data" sheetId="2" state="visible" r:id="rId4"/>
    <sheet name="Forecast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<sst xmlns="http://schemas.openxmlformats.org/spreadsheetml/2006/main" count="45" uniqueCount="44">
  <si>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Holt-Winters Forecasting Template</t>
  </si>
  <si>
    <t xml:space="preserve">Free template by DataHub Pro · datahubpro.co.uk · hello@datahubpro.co.uk</t>
  </si>
  <si>
    <t xml:space="preserve">What this template does</t>
  </si>
  <si>
    <t xml:space="preserve">Forecasts a monthly time series using triple exponential smoothing (Holt-Winters).</t>
  </si>
  <si>
    <t xml:space="preserve">Handles trend AND seasonality. Outputs 12-month forecast with 95% confidence bands.</t>
  </si>
  <si>
    <t xml:space="preserve">How to use it</t>
  </si>
  <si>
    <t xml:space="preserve">  Step 1: Open the 'Data' sheet. The column A has dates (monthly). Column B has values.</t>
  </si>
  <si>
    <t xml:space="preserve">  Step 2: Replace the sample data with your own. Keep the dates in the first column,</t>
  </si>
  <si>
    <t xml:space="preserve">    values in the second. At least 24 months of history required.</t>
  </si>
  <si>
    <t xml:space="preserve">  Step 3: Open the 'Forecast' sheet. The forecast updates automatically.</t>
  </si>
  <si>
    <t xml:space="preserve">  Step 4 (optional): Tune α, β, γ in cells Forecast!F1:F3 to improve fit.</t>
  </si>
  <si>
    <t xml:space="preserve">    Defaults of α=0.3, β=0.1, γ=0.3 work well for most monthly series.</t>
  </si>
  <si>
    <t xml:space="preserve">How it works</t>
  </si>
  <si>
    <t xml:space="preserve">Holt-Winters decomposes the series into Level (L), Trend (T), and Seasonality (S).</t>
  </si>
  <si>
    <t xml:space="preserve">Each component has its own smoothing parameter:</t>
  </si>
  <si>
    <t xml:space="preserve">  L_t = α × (Y_t / S_{t-12}) + (1-α) × (L_{t-1} + T_{t-1})</t>
  </si>
  <si>
    <t xml:space="preserve">  T_t = β × (L_t - L_{t-1}) + (1-β) × T_{t-1}</t>
  </si>
  <si>
    <t xml:space="preserve">  S_t = γ × (Y_t / L_t) + (1-γ) × S_{t-12}</t>
  </si>
  <si>
    <t xml:space="preserve">Forecast for horizon h: F_{t+h} = (L_t + h × T_t) × S_{t+h-12}</t>
  </si>
  <si>
    <t xml:space="preserve">Caveats</t>
  </si>
  <si>
    <t xml:space="preserve">  Multiplicative form. Use if seasonal swings grow with the level (most retail/SaaS).</t>
  </si>
  <si>
    <t xml:space="preserve">  Confidence bands are ±1.96 × in-sample residual std; assumes normal residuals.</t>
  </si>
  <si>
    <t xml:space="preserve">  Don't forecast through structural breaks (relaunches, pricing changes).</t>
  </si>
  <si>
    <t xml:space="preserve">Sample data shape</t>
  </si>
  <si>
    <t xml:space="preserve">The sample data is 36 months of synthetic e-commerce GMV with growing trend</t>
  </si>
  <si>
    <t xml:space="preserve">and seasonal Q4 spikes — typical pattern for testing forecasting methods.</t>
  </si>
  <si>
    <t xml:space="preserve">Made by Dr Waqas Rafique (Founder &amp; CTO, DataHub Pro). PhD Machine Learning. Cambridge / Oxford / UCL / J.P. Morgan.</t>
  </si>
  <si>
    <t xml:space="preserve">If you found this useful, the full DataHub Pro platform is £19/user/month: https://www.datahubpro.co.uk</t>
  </si>
  <si>
    <t xml:space="preserve">Date</t>
  </si>
  <si>
    <t xml:space="preserve">Value</t>
  </si>
  <si>
    <t xml:space="preserve">PARAMETERS</t>
  </si>
  <si>
    <t xml:space="preserve">α (level)</t>
  </si>
  <si>
    <t xml:space="preserve">β (trend)</t>
  </si>
  <si>
    <t xml:space="preserve">γ (seasonal)</t>
  </si>
  <si>
    <t xml:space="preserve">m (period)</t>
  </si>
  <si>
    <t xml:space="preserve">Value (Y)</t>
  </si>
  <si>
    <t xml:space="preserve">Level (L)</t>
  </si>
  <si>
    <t xml:space="preserve">Trend (T)</t>
  </si>
  <si>
    <t xml:space="preserve">Seasonal (S)</t>
  </si>
  <si>
    <t xml:space="preserve">Fitted</t>
  </si>
  <si>
    <t xml:space="preserve">Forecast</t>
  </si>
  <si>
    <t xml:space="preserve">Lower 95%</t>
  </si>
  <si>
    <t xml:space="preserve">Upper 95%</t>
  </si>
  <si>
    <t xml:space="preserve">Residual std (in-sample):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</si>
</sst>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\-mm\-dd"/>
    <numFmt numFmtId="166" formatCode="\£#,##0.00"/>
    <numFmt numFmtId="167" formatCode="\£#,##0"/>
    <numFmt numFmtId="168" formatCode="0.000"/>
    <numFmt numFmtId="169" formatCode="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A0A14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2"/>
      <color rgb="FFA855F7"/>
      <name val="Cambria"/>
      <family val="0"/>
      <charset val="1"/>
    </font>
    <font>
      <i val="true"/>
      <sz val="9"/>
      <color rgb="FF6B7280"/>
      <name val="Cambria"/>
      <family val="0"/>
      <charset val="1"/>
    </font>
    <font>
      <i val="true"/>
      <sz val="9"/>
      <color rgb="FFA855F7"/>
      <name val="Cambria"/>
      <family val="0"/>
      <charset val="1"/>
    </font>
    <font>
      <b val="true"/>
      <sz val="11"/>
      <color rgb="FFFFFFFF"/>
      <name val="Calibri"/>
      <family val="0"/>
      <charset val="1"/>
    </font>
    <font>
      <sz val="11"/>
      <color rgb="FF0000FF"/>
      <name val="Calibri"/>
      <family val="0"/>
      <charset val="1"/>
    </font>
    <font>
      <b val="true"/>
      <sz val="11"/>
      <color rgb="FFA855F7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855F7"/>
        <bgColor rgb="FFC77978"/>
      </patternFill>
    </fill>
    <fill>
      <patternFill patternType="solid">
        <fgColor rgb="FFFFF8D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B0B0"/>
      <rgbColor rgb="FF878787"/>
      <rgbColor rgb="FFA855F7"/>
      <rgbColor rgb="FF953B38"/>
      <rgbColor rgb="FFFFF8DC"/>
      <rgbColor rgb="FFCCFFFF"/>
      <rgbColor rgb="FF660066"/>
      <rgbColor rgb="FFC77978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A0A14"/>
      <rgbColor rgb="FF333300"/>
      <rgbColor rgb="FF993300"/>
      <rgbColor rgb="FFB24543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1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Forecast — actual + projected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Forecast!B6</c:f>
              <c:strCache>
                <c:ptCount val="1"/>
                <c:pt idx="0">
                  <c:v>Value (Y)</c:v>
                </c:pt>
              </c:strCache>
            </c:strRef>
          </c:tx>
          <c:spPr>
            <a:solidFill>
              <a:srgbClr val="953B38"/>
            </a:solidFill>
            <a:ln w="12600">
              <a:solidFill>
                <a:srgbClr val="953B38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Forecast!$A$7:$A$54</c:f>
              <c:strCache>
                <c:ptCount val="48"/>
                <c:pt idx="0">
                  <c:v>2023-01-01</c:v>
                </c:pt>
                <c:pt idx="1">
                  <c:v>2023-02-01</c:v>
                </c:pt>
                <c:pt idx="2">
                  <c:v>2023-03-01</c:v>
                </c:pt>
                <c:pt idx="3">
                  <c:v>2023-04-01</c:v>
                </c:pt>
                <c:pt idx="4">
                  <c:v>2023-05-01</c:v>
                </c:pt>
                <c:pt idx="5">
                  <c:v>2023-06-01</c:v>
                </c:pt>
                <c:pt idx="6">
                  <c:v>2023-07-01</c:v>
                </c:pt>
                <c:pt idx="7">
                  <c:v>2023-08-01</c:v>
                </c:pt>
                <c:pt idx="8">
                  <c:v>2023-09-01</c:v>
                </c:pt>
                <c:pt idx="9">
                  <c:v>2023-10-01</c:v>
                </c:pt>
                <c:pt idx="10">
                  <c:v>2023-11-01</c:v>
                </c:pt>
                <c:pt idx="11">
                  <c:v>2023-12-01</c:v>
                </c:pt>
                <c:pt idx="12">
                  <c:v>2024-01-01</c:v>
                </c:pt>
                <c:pt idx="13">
                  <c:v>2024-02-01</c:v>
                </c:pt>
                <c:pt idx="14">
                  <c:v>2024-03-01</c:v>
                </c:pt>
                <c:pt idx="15">
                  <c:v>2024-04-01</c:v>
                </c:pt>
                <c:pt idx="16">
                  <c:v>2024-05-01</c:v>
                </c:pt>
                <c:pt idx="17">
                  <c:v>2024-06-01</c:v>
                </c:pt>
                <c:pt idx="18">
                  <c:v>2024-07-01</c:v>
                </c:pt>
                <c:pt idx="19">
                  <c:v>2024-08-01</c:v>
                </c:pt>
                <c:pt idx="20">
                  <c:v>2024-09-01</c:v>
                </c:pt>
                <c:pt idx="21">
                  <c:v>2024-10-01</c:v>
                </c:pt>
                <c:pt idx="22">
                  <c:v>2024-11-01</c:v>
                </c:pt>
                <c:pt idx="23">
                  <c:v>2024-12-01</c:v>
                </c:pt>
                <c:pt idx="24">
                  <c:v>2025-01-01</c:v>
                </c:pt>
                <c:pt idx="25">
                  <c:v>2025-02-01</c:v>
                </c:pt>
                <c:pt idx="26">
                  <c:v>2025-03-01</c:v>
                </c:pt>
                <c:pt idx="27">
                  <c:v>2025-04-01</c:v>
                </c:pt>
                <c:pt idx="28">
                  <c:v>2025-05-01</c:v>
                </c:pt>
                <c:pt idx="29">
                  <c:v>2025-06-01</c:v>
                </c:pt>
                <c:pt idx="30">
                  <c:v>2025-07-01</c:v>
                </c:pt>
                <c:pt idx="31">
                  <c:v>2025-08-01</c:v>
                </c:pt>
                <c:pt idx="32">
                  <c:v>2025-09-01</c:v>
                </c:pt>
                <c:pt idx="33">
                  <c:v>2025-10-01</c:v>
                </c:pt>
                <c:pt idx="34">
                  <c:v>2025-11-01</c:v>
                </c:pt>
                <c:pt idx="35">
                  <c:v>2025-12-01</c:v>
                </c:pt>
                <c:pt idx="36">
                  <c:v>2026-01-01</c:v>
                </c:pt>
                <c:pt idx="37">
                  <c:v>2026-02-01</c:v>
                </c:pt>
                <c:pt idx="38">
                  <c:v>2026-03-01</c:v>
                </c:pt>
                <c:pt idx="39">
                  <c:v>2026-04-01</c:v>
                </c:pt>
                <c:pt idx="40">
                  <c:v>2026-05-01</c:v>
                </c:pt>
                <c:pt idx="41">
                  <c:v>2026-06-01</c:v>
                </c:pt>
                <c:pt idx="42">
                  <c:v>2026-07-01</c:v>
                </c:pt>
                <c:pt idx="43">
                  <c:v>2026-08-01</c:v>
                </c:pt>
                <c:pt idx="44">
                  <c:v>2026-09-01</c:v>
                </c:pt>
                <c:pt idx="45">
                  <c:v>2026-10-01</c:v>
                </c:pt>
                <c:pt idx="46">
                  <c:v>2026-11-01</c:v>
                </c:pt>
                <c:pt idx="47">
                  <c:v>2026-12-01</c:v>
                </c:pt>
              </c:strCache>
            </c:strRef>
          </c:cat>
          <c:val>
            <c:numRef>
              <c:f>Forecast!$B$7:$B$42</c:f>
              <c:numCache>
                <c:formatCode>\£#,##0</c:formatCode>
                <c:ptCount val="36"/>
                <c:pt idx="0">
                  <c:v>44610.96</c:v>
                </c:pt>
                <c:pt idx="1">
                  <c:v>43068.51</c:v>
                </c:pt>
                <c:pt idx="2">
                  <c:v>52050.02</c:v>
                </c:pt>
                <c:pt idx="3">
                  <c:v>58650.46</c:v>
                </c:pt>
                <c:pt idx="4">
                  <c:v>54380.49</c:v>
                </c:pt>
                <c:pt idx="5">
                  <c:v>48420.45</c:v>
                </c:pt>
                <c:pt idx="6">
                  <c:v>52506.46</c:v>
                </c:pt>
                <c:pt idx="7">
                  <c:v>51716.92</c:v>
                </c:pt>
                <c:pt idx="8">
                  <c:v>64706.57</c:v>
                </c:pt>
                <c:pt idx="9">
                  <c:v>73467.3</c:v>
                </c:pt>
                <c:pt idx="10">
                  <c:v>88009.81</c:v>
                </c:pt>
                <c:pt idx="11">
                  <c:v>108179.54</c:v>
                </c:pt>
                <c:pt idx="12">
                  <c:v>60243.52</c:v>
                </c:pt>
                <c:pt idx="13">
                  <c:v>56129.71</c:v>
                </c:pt>
                <c:pt idx="14">
                  <c:v>63840.81</c:v>
                </c:pt>
                <c:pt idx="15">
                  <c:v>67053.19</c:v>
                </c:pt>
                <c:pt idx="16">
                  <c:v>70222.81</c:v>
                </c:pt>
                <c:pt idx="17">
                  <c:v>72141.11</c:v>
                </c:pt>
                <c:pt idx="18">
                  <c:v>64601.06</c:v>
                </c:pt>
                <c:pt idx="19">
                  <c:v>65102.02</c:v>
                </c:pt>
                <c:pt idx="20">
                  <c:v>83997.2</c:v>
                </c:pt>
                <c:pt idx="21">
                  <c:v>82369.92</c:v>
                </c:pt>
                <c:pt idx="22">
                  <c:v>104955.93</c:v>
                </c:pt>
                <c:pt idx="23">
                  <c:v>127813</c:v>
                </c:pt>
                <c:pt idx="24">
                  <c:v>74636.51</c:v>
                </c:pt>
                <c:pt idx="25">
                  <c:v>67018.23</c:v>
                </c:pt>
                <c:pt idx="26">
                  <c:v>83034.79</c:v>
                </c:pt>
                <c:pt idx="27">
                  <c:v>87808.53</c:v>
                </c:pt>
                <c:pt idx="28">
                  <c:v>87524.15</c:v>
                </c:pt>
                <c:pt idx="29">
                  <c:v>75179.13</c:v>
                </c:pt>
                <c:pt idx="30">
                  <c:v>80038.96</c:v>
                </c:pt>
                <c:pt idx="31">
                  <c:v>71348.43</c:v>
                </c:pt>
                <c:pt idx="32">
                  <c:v>81954.19</c:v>
                </c:pt>
                <c:pt idx="33">
                  <c:v>103604.83</c:v>
                </c:pt>
                <c:pt idx="34">
                  <c:v>120134.93</c:v>
                </c:pt>
                <c:pt idx="35">
                  <c:v>154936.94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Forecast!G6</c:f>
              <c:strCache>
                <c:ptCount val="1"/>
                <c:pt idx="0">
                  <c:v>Forecast</c:v>
                </c:pt>
              </c:strCache>
            </c:strRef>
          </c:tx>
          <c:spPr>
            <a:solidFill>
              <a:srgbClr val="B24543"/>
            </a:solidFill>
            <a:ln w="12600">
              <a:solidFill>
                <a:srgbClr val="B24543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Forecast!$A$7:$A$54</c:f>
              <c:strCache>
                <c:ptCount val="48"/>
                <c:pt idx="0">
                  <c:v>2023-01-01</c:v>
                </c:pt>
                <c:pt idx="1">
                  <c:v>2023-02-01</c:v>
                </c:pt>
                <c:pt idx="2">
                  <c:v>2023-03-01</c:v>
                </c:pt>
                <c:pt idx="3">
                  <c:v>2023-04-01</c:v>
                </c:pt>
                <c:pt idx="4">
                  <c:v>2023-05-01</c:v>
                </c:pt>
                <c:pt idx="5">
                  <c:v>2023-06-01</c:v>
                </c:pt>
                <c:pt idx="6">
                  <c:v>2023-07-01</c:v>
                </c:pt>
                <c:pt idx="7">
                  <c:v>2023-08-01</c:v>
                </c:pt>
                <c:pt idx="8">
                  <c:v>2023-09-01</c:v>
                </c:pt>
                <c:pt idx="9">
                  <c:v>2023-10-01</c:v>
                </c:pt>
                <c:pt idx="10">
                  <c:v>2023-11-01</c:v>
                </c:pt>
                <c:pt idx="11">
                  <c:v>2023-12-01</c:v>
                </c:pt>
                <c:pt idx="12">
                  <c:v>2024-01-01</c:v>
                </c:pt>
                <c:pt idx="13">
                  <c:v>2024-02-01</c:v>
                </c:pt>
                <c:pt idx="14">
                  <c:v>2024-03-01</c:v>
                </c:pt>
                <c:pt idx="15">
                  <c:v>2024-04-01</c:v>
                </c:pt>
                <c:pt idx="16">
                  <c:v>2024-05-01</c:v>
                </c:pt>
                <c:pt idx="17">
                  <c:v>2024-06-01</c:v>
                </c:pt>
                <c:pt idx="18">
                  <c:v>2024-07-01</c:v>
                </c:pt>
                <c:pt idx="19">
                  <c:v>2024-08-01</c:v>
                </c:pt>
                <c:pt idx="20">
                  <c:v>2024-09-01</c:v>
                </c:pt>
                <c:pt idx="21">
                  <c:v>2024-10-01</c:v>
                </c:pt>
                <c:pt idx="22">
                  <c:v>2024-11-01</c:v>
                </c:pt>
                <c:pt idx="23">
                  <c:v>2024-12-01</c:v>
                </c:pt>
                <c:pt idx="24">
                  <c:v>2025-01-01</c:v>
                </c:pt>
                <c:pt idx="25">
                  <c:v>2025-02-01</c:v>
                </c:pt>
                <c:pt idx="26">
                  <c:v>2025-03-01</c:v>
                </c:pt>
                <c:pt idx="27">
                  <c:v>2025-04-01</c:v>
                </c:pt>
                <c:pt idx="28">
                  <c:v>2025-05-01</c:v>
                </c:pt>
                <c:pt idx="29">
                  <c:v>2025-06-01</c:v>
                </c:pt>
                <c:pt idx="30">
                  <c:v>2025-07-01</c:v>
                </c:pt>
                <c:pt idx="31">
                  <c:v>2025-08-01</c:v>
                </c:pt>
                <c:pt idx="32">
                  <c:v>2025-09-01</c:v>
                </c:pt>
                <c:pt idx="33">
                  <c:v>2025-10-01</c:v>
                </c:pt>
                <c:pt idx="34">
                  <c:v>2025-11-01</c:v>
                </c:pt>
                <c:pt idx="35">
                  <c:v>2025-12-01</c:v>
                </c:pt>
                <c:pt idx="36">
                  <c:v>2026-01-01</c:v>
                </c:pt>
                <c:pt idx="37">
                  <c:v>2026-02-01</c:v>
                </c:pt>
                <c:pt idx="38">
                  <c:v>2026-03-01</c:v>
                </c:pt>
                <c:pt idx="39">
                  <c:v>2026-04-01</c:v>
                </c:pt>
                <c:pt idx="40">
                  <c:v>2026-05-01</c:v>
                </c:pt>
                <c:pt idx="41">
                  <c:v>2026-06-01</c:v>
                </c:pt>
                <c:pt idx="42">
                  <c:v>2026-07-01</c:v>
                </c:pt>
                <c:pt idx="43">
                  <c:v>2026-08-01</c:v>
                </c:pt>
                <c:pt idx="44">
                  <c:v>2026-09-01</c:v>
                </c:pt>
                <c:pt idx="45">
                  <c:v>2026-10-01</c:v>
                </c:pt>
                <c:pt idx="46">
                  <c:v>2026-11-01</c:v>
                </c:pt>
                <c:pt idx="47">
                  <c:v>2026-12-01</c:v>
                </c:pt>
              </c:strCache>
            </c:strRef>
          </c:cat>
          <c:val>
            <c:numRef>
              <c:f>Forecast!$G$7:$G$54</c:f>
              <c:numCache>
                <c:formatCode>\£#,##0</c:formatCode>
                <c:ptCount val="48"/>
                <c:pt idx="36">
                  <c:v>73341.6331610971</c:v>
                </c:pt>
                <c:pt idx="37">
                  <c:v>67029.8566408309</c:v>
                </c:pt>
                <c:pt idx="38">
                  <c:v>79343.8640508562</c:v>
                </c:pt>
                <c:pt idx="39">
                  <c:v>86344.5059768608</c:v>
                </c:pt>
                <c:pt idx="40">
                  <c:v>83045.3554558735</c:v>
                </c:pt>
                <c:pt idx="41">
                  <c:v>74688.47057353</c:v>
                </c:pt>
                <c:pt idx="42">
                  <c:v>77619.6448622258</c:v>
                </c:pt>
                <c:pt idx="43">
                  <c:v>75529.8880009718</c:v>
                </c:pt>
                <c:pt idx="44">
                  <c:v>94392.9187048822</c:v>
                </c:pt>
                <c:pt idx="45">
                  <c:v>108534.771958208</c:v>
                </c:pt>
                <c:pt idx="46">
                  <c:v>131902.026237277</c:v>
                </c:pt>
                <c:pt idx="47">
                  <c:v>165319.663432411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Forecast!H6</c:f>
              <c:strCache>
                <c:ptCount val="1"/>
                <c:pt idx="0">
                  <c:v>Lower 95%</c:v>
                </c:pt>
              </c:strCache>
            </c:strRef>
          </c:tx>
          <c:spPr>
            <a:solidFill>
              <a:srgbClr val="C77978"/>
            </a:solidFill>
            <a:ln w="12600">
              <a:solidFill>
                <a:srgbClr val="C77978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Forecast!$A$7:$A$54</c:f>
              <c:strCache>
                <c:ptCount val="48"/>
                <c:pt idx="0">
                  <c:v>2023-01-01</c:v>
                </c:pt>
                <c:pt idx="1">
                  <c:v>2023-02-01</c:v>
                </c:pt>
                <c:pt idx="2">
                  <c:v>2023-03-01</c:v>
                </c:pt>
                <c:pt idx="3">
                  <c:v>2023-04-01</c:v>
                </c:pt>
                <c:pt idx="4">
                  <c:v>2023-05-01</c:v>
                </c:pt>
                <c:pt idx="5">
                  <c:v>2023-06-01</c:v>
                </c:pt>
                <c:pt idx="6">
                  <c:v>2023-07-01</c:v>
                </c:pt>
                <c:pt idx="7">
                  <c:v>2023-08-01</c:v>
                </c:pt>
                <c:pt idx="8">
                  <c:v>2023-09-01</c:v>
                </c:pt>
                <c:pt idx="9">
                  <c:v>2023-10-01</c:v>
                </c:pt>
                <c:pt idx="10">
                  <c:v>2023-11-01</c:v>
                </c:pt>
                <c:pt idx="11">
                  <c:v>2023-12-01</c:v>
                </c:pt>
                <c:pt idx="12">
                  <c:v>2024-01-01</c:v>
                </c:pt>
                <c:pt idx="13">
                  <c:v>2024-02-01</c:v>
                </c:pt>
                <c:pt idx="14">
                  <c:v>2024-03-01</c:v>
                </c:pt>
                <c:pt idx="15">
                  <c:v>2024-04-01</c:v>
                </c:pt>
                <c:pt idx="16">
                  <c:v>2024-05-01</c:v>
                </c:pt>
                <c:pt idx="17">
                  <c:v>2024-06-01</c:v>
                </c:pt>
                <c:pt idx="18">
                  <c:v>2024-07-01</c:v>
                </c:pt>
                <c:pt idx="19">
                  <c:v>2024-08-01</c:v>
                </c:pt>
                <c:pt idx="20">
                  <c:v>2024-09-01</c:v>
                </c:pt>
                <c:pt idx="21">
                  <c:v>2024-10-01</c:v>
                </c:pt>
                <c:pt idx="22">
                  <c:v>2024-11-01</c:v>
                </c:pt>
                <c:pt idx="23">
                  <c:v>2024-12-01</c:v>
                </c:pt>
                <c:pt idx="24">
                  <c:v>2025-01-01</c:v>
                </c:pt>
                <c:pt idx="25">
                  <c:v>2025-02-01</c:v>
                </c:pt>
                <c:pt idx="26">
                  <c:v>2025-03-01</c:v>
                </c:pt>
                <c:pt idx="27">
                  <c:v>2025-04-01</c:v>
                </c:pt>
                <c:pt idx="28">
                  <c:v>2025-05-01</c:v>
                </c:pt>
                <c:pt idx="29">
                  <c:v>2025-06-01</c:v>
                </c:pt>
                <c:pt idx="30">
                  <c:v>2025-07-01</c:v>
                </c:pt>
                <c:pt idx="31">
                  <c:v>2025-08-01</c:v>
                </c:pt>
                <c:pt idx="32">
                  <c:v>2025-09-01</c:v>
                </c:pt>
                <c:pt idx="33">
                  <c:v>2025-10-01</c:v>
                </c:pt>
                <c:pt idx="34">
                  <c:v>2025-11-01</c:v>
                </c:pt>
                <c:pt idx="35">
                  <c:v>2025-12-01</c:v>
                </c:pt>
                <c:pt idx="36">
                  <c:v>2026-01-01</c:v>
                </c:pt>
                <c:pt idx="37">
                  <c:v>2026-02-01</c:v>
                </c:pt>
                <c:pt idx="38">
                  <c:v>2026-03-01</c:v>
                </c:pt>
                <c:pt idx="39">
                  <c:v>2026-04-01</c:v>
                </c:pt>
                <c:pt idx="40">
                  <c:v>2026-05-01</c:v>
                </c:pt>
                <c:pt idx="41">
                  <c:v>2026-06-01</c:v>
                </c:pt>
                <c:pt idx="42">
                  <c:v>2026-07-01</c:v>
                </c:pt>
                <c:pt idx="43">
                  <c:v>2026-08-01</c:v>
                </c:pt>
                <c:pt idx="44">
                  <c:v>2026-09-01</c:v>
                </c:pt>
                <c:pt idx="45">
                  <c:v>2026-10-01</c:v>
                </c:pt>
                <c:pt idx="46">
                  <c:v>2026-11-01</c:v>
                </c:pt>
                <c:pt idx="47">
                  <c:v>2026-12-01</c:v>
                </c:pt>
              </c:strCache>
            </c:strRef>
          </c:cat>
          <c:val>
            <c:numRef>
              <c:f>Forecast!$H$7:$H$54</c:f>
              <c:numCache>
                <c:formatCode>\£#,##0</c:formatCode>
                <c:ptCount val="48"/>
                <c:pt idx="36">
                  <c:v>71026.1920024231</c:v>
                </c:pt>
                <c:pt idx="37">
                  <c:v>64714.4154821569</c:v>
                </c:pt>
                <c:pt idx="38">
                  <c:v>77028.4228921822</c:v>
                </c:pt>
                <c:pt idx="39">
                  <c:v>84029.0648181868</c:v>
                </c:pt>
                <c:pt idx="40">
                  <c:v>80729.9142971995</c:v>
                </c:pt>
                <c:pt idx="41">
                  <c:v>72373.0294148561</c:v>
                </c:pt>
                <c:pt idx="42">
                  <c:v>75304.2037035518</c:v>
                </c:pt>
                <c:pt idx="43">
                  <c:v>73214.4468422978</c:v>
                </c:pt>
                <c:pt idx="44">
                  <c:v>92077.4775462082</c:v>
                </c:pt>
                <c:pt idx="45">
                  <c:v>106219.330799534</c:v>
                </c:pt>
                <c:pt idx="46">
                  <c:v>129586.585078603</c:v>
                </c:pt>
                <c:pt idx="47">
                  <c:v>163004.222273737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Forecast!I6</c:f>
              <c:strCache>
                <c:ptCount val="1"/>
                <c:pt idx="0">
                  <c:v>Upper 95%</c:v>
                </c:pt>
              </c:strCache>
            </c:strRef>
          </c:tx>
          <c:spPr>
            <a:solidFill>
              <a:srgbClr val="D9B0B0"/>
            </a:solidFill>
            <a:ln w="12600">
              <a:solidFill>
                <a:srgbClr val="D9B0B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Forecast!$A$7:$A$54</c:f>
              <c:strCache>
                <c:ptCount val="48"/>
                <c:pt idx="0">
                  <c:v>2023-01-01</c:v>
                </c:pt>
                <c:pt idx="1">
                  <c:v>2023-02-01</c:v>
                </c:pt>
                <c:pt idx="2">
                  <c:v>2023-03-01</c:v>
                </c:pt>
                <c:pt idx="3">
                  <c:v>2023-04-01</c:v>
                </c:pt>
                <c:pt idx="4">
                  <c:v>2023-05-01</c:v>
                </c:pt>
                <c:pt idx="5">
                  <c:v>2023-06-01</c:v>
                </c:pt>
                <c:pt idx="6">
                  <c:v>2023-07-01</c:v>
                </c:pt>
                <c:pt idx="7">
                  <c:v>2023-08-01</c:v>
                </c:pt>
                <c:pt idx="8">
                  <c:v>2023-09-01</c:v>
                </c:pt>
                <c:pt idx="9">
                  <c:v>2023-10-01</c:v>
                </c:pt>
                <c:pt idx="10">
                  <c:v>2023-11-01</c:v>
                </c:pt>
                <c:pt idx="11">
                  <c:v>2023-12-01</c:v>
                </c:pt>
                <c:pt idx="12">
                  <c:v>2024-01-01</c:v>
                </c:pt>
                <c:pt idx="13">
                  <c:v>2024-02-01</c:v>
                </c:pt>
                <c:pt idx="14">
                  <c:v>2024-03-01</c:v>
                </c:pt>
                <c:pt idx="15">
                  <c:v>2024-04-01</c:v>
                </c:pt>
                <c:pt idx="16">
                  <c:v>2024-05-01</c:v>
                </c:pt>
                <c:pt idx="17">
                  <c:v>2024-06-01</c:v>
                </c:pt>
                <c:pt idx="18">
                  <c:v>2024-07-01</c:v>
                </c:pt>
                <c:pt idx="19">
                  <c:v>2024-08-01</c:v>
                </c:pt>
                <c:pt idx="20">
                  <c:v>2024-09-01</c:v>
                </c:pt>
                <c:pt idx="21">
                  <c:v>2024-10-01</c:v>
                </c:pt>
                <c:pt idx="22">
                  <c:v>2024-11-01</c:v>
                </c:pt>
                <c:pt idx="23">
                  <c:v>2024-12-01</c:v>
                </c:pt>
                <c:pt idx="24">
                  <c:v>2025-01-01</c:v>
                </c:pt>
                <c:pt idx="25">
                  <c:v>2025-02-01</c:v>
                </c:pt>
                <c:pt idx="26">
                  <c:v>2025-03-01</c:v>
                </c:pt>
                <c:pt idx="27">
                  <c:v>2025-04-01</c:v>
                </c:pt>
                <c:pt idx="28">
                  <c:v>2025-05-01</c:v>
                </c:pt>
                <c:pt idx="29">
                  <c:v>2025-06-01</c:v>
                </c:pt>
                <c:pt idx="30">
                  <c:v>2025-07-01</c:v>
                </c:pt>
                <c:pt idx="31">
                  <c:v>2025-08-01</c:v>
                </c:pt>
                <c:pt idx="32">
                  <c:v>2025-09-01</c:v>
                </c:pt>
                <c:pt idx="33">
                  <c:v>2025-10-01</c:v>
                </c:pt>
                <c:pt idx="34">
                  <c:v>2025-11-01</c:v>
                </c:pt>
                <c:pt idx="35">
                  <c:v>2025-12-01</c:v>
                </c:pt>
                <c:pt idx="36">
                  <c:v>2026-01-01</c:v>
                </c:pt>
                <c:pt idx="37">
                  <c:v>2026-02-01</c:v>
                </c:pt>
                <c:pt idx="38">
                  <c:v>2026-03-01</c:v>
                </c:pt>
                <c:pt idx="39">
                  <c:v>2026-04-01</c:v>
                </c:pt>
                <c:pt idx="40">
                  <c:v>2026-05-01</c:v>
                </c:pt>
                <c:pt idx="41">
                  <c:v>2026-06-01</c:v>
                </c:pt>
                <c:pt idx="42">
                  <c:v>2026-07-01</c:v>
                </c:pt>
                <c:pt idx="43">
                  <c:v>2026-08-01</c:v>
                </c:pt>
                <c:pt idx="44">
                  <c:v>2026-09-01</c:v>
                </c:pt>
                <c:pt idx="45">
                  <c:v>2026-10-01</c:v>
                </c:pt>
                <c:pt idx="46">
                  <c:v>2026-11-01</c:v>
                </c:pt>
                <c:pt idx="47">
                  <c:v>2026-12-01</c:v>
                </c:pt>
              </c:strCache>
            </c:strRef>
          </c:cat>
          <c:val>
            <c:numRef>
              <c:f>Forecast!$I$7:$I$54</c:f>
              <c:numCache>
                <c:formatCode>\£#,##0</c:formatCode>
                <c:ptCount val="48"/>
                <c:pt idx="36">
                  <c:v>75657.0743197711</c:v>
                </c:pt>
                <c:pt idx="37">
                  <c:v>69345.2977995048</c:v>
                </c:pt>
                <c:pt idx="38">
                  <c:v>81659.3052095302</c:v>
                </c:pt>
                <c:pt idx="39">
                  <c:v>88659.9471355348</c:v>
                </c:pt>
                <c:pt idx="40">
                  <c:v>85360.7966145475</c:v>
                </c:pt>
                <c:pt idx="41">
                  <c:v>77003.911732204</c:v>
                </c:pt>
                <c:pt idx="42">
                  <c:v>79935.0860208998</c:v>
                </c:pt>
                <c:pt idx="43">
                  <c:v>77845.3291596458</c:v>
                </c:pt>
                <c:pt idx="44">
                  <c:v>96708.3598635562</c:v>
                </c:pt>
                <c:pt idx="45">
                  <c:v>110850.213116882</c:v>
                </c:pt>
                <c:pt idx="46">
                  <c:v>134217.467395951</c:v>
                </c:pt>
                <c:pt idx="47">
                  <c:v>167635.104591085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94419407"/>
        <c:axId val="59749739"/>
      </c:lineChart>
      <c:catAx>
        <c:axId val="9441940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yyyy\-mm\-dd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9749739"/>
        <c:crosses val="autoZero"/>
        <c:auto val="1"/>
        <c:lblAlgn val="ctr"/>
        <c:lblOffset val="100"/>
        <c:noMultiLvlLbl val="0"/>
      </c:catAx>
      <c:valAx>
        <c:axId val="5974973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Value (£)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£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4419407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0</xdr:colOff>
      <xdr:row>5</xdr:row>
      <xdr:rowOff>0</xdr:rowOff>
    </xdr:from>
    <xdr:to>
      <xdr:col>22</xdr:col>
      <xdr:colOff>581400</xdr:colOff>
      <xdr:row>27</xdr:row>
      <xdr:rowOff>128520</xdr:rowOff>
    </xdr:to>
    <xdr:graphicFrame>
      <xdr:nvGraphicFramePr>
        <xdr:cNvPr id="1" name="Chart 1"/>
        <xdr:cNvGraphicFramePr/>
      </xdr:nvGraphicFramePr>
      <xdr:xfrm>
        <a:off x="9492480" y="952560"/>
        <a:ext cx="791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0"/>
  </cols>
  <sheetData>
    <row r="1" customFormat="false" ht="22.0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4" t="s">
        <v>3</v>
      </c>
    </row>
    <row r="6" customFormat="false" ht="15" hidden="false" customHeight="false" outlineLevel="0" collapsed="false">
      <c r="A6" s="4" t="s">
        <v>4</v>
      </c>
    </row>
    <row r="7" customFormat="false" ht="15" hidden="false" customHeight="false" outlineLevel="0" collapsed="false">
      <c r="A7" s="4"/>
    </row>
    <row r="8" customFormat="false" ht="15" hidden="false" customHeight="false" outlineLevel="0" collapsed="false">
      <c r="A8" s="3" t="s">
        <v>5</v>
      </c>
    </row>
    <row r="9" customFormat="false" ht="15" hidden="false" customHeight="false" outlineLevel="0" collapsed="false">
      <c r="A9" s="4" t="s">
        <v>6</v>
      </c>
    </row>
    <row r="10" customFormat="false" ht="15" hidden="false" customHeight="false" outlineLevel="0" collapsed="false">
      <c r="A10" s="4" t="s">
        <v>7</v>
      </c>
    </row>
    <row r="11" customFormat="false" ht="15" hidden="false" customHeight="false" outlineLevel="0" collapsed="false">
      <c r="A11" s="4" t="s">
        <v>8</v>
      </c>
    </row>
    <row r="12" customFormat="false" ht="15" hidden="false" customHeight="false" outlineLevel="0" collapsed="false">
      <c r="A12" s="4" t="s">
        <v>9</v>
      </c>
    </row>
    <row r="13" customFormat="false" ht="15" hidden="false" customHeight="false" outlineLevel="0" collapsed="false">
      <c r="A13" s="4" t="s">
        <v>10</v>
      </c>
    </row>
    <row r="14" customFormat="false" ht="15" hidden="false" customHeight="false" outlineLevel="0" collapsed="false">
      <c r="A14" s="4" t="s">
        <v>11</v>
      </c>
    </row>
    <row r="15" customFormat="false" ht="15" hidden="false" customHeight="false" outlineLevel="0" collapsed="false">
      <c r="A15" s="4"/>
    </row>
    <row r="16" customFormat="false" ht="15" hidden="false" customHeight="false" outlineLevel="0" collapsed="false">
      <c r="A16" s="3" t="s">
        <v>12</v>
      </c>
    </row>
    <row r="17" customFormat="false" ht="15" hidden="false" customHeight="false" outlineLevel="0" collapsed="false">
      <c r="A17" s="4" t="s">
        <v>13</v>
      </c>
    </row>
    <row r="18" customFormat="false" ht="15" hidden="false" customHeight="false" outlineLevel="0" collapsed="false">
      <c r="A18" s="4" t="s">
        <v>14</v>
      </c>
    </row>
    <row r="19" customFormat="false" ht="15" hidden="false" customHeight="false" outlineLevel="0" collapsed="false">
      <c r="A19" s="4" t="s">
        <v>15</v>
      </c>
    </row>
    <row r="20" customFormat="false" ht="15" hidden="false" customHeight="false" outlineLevel="0" collapsed="false">
      <c r="A20" s="4" t="s">
        <v>16</v>
      </c>
    </row>
    <row r="21" customFormat="false" ht="15" hidden="false" customHeight="false" outlineLevel="0" collapsed="false">
      <c r="A21" s="4" t="s">
        <v>17</v>
      </c>
    </row>
    <row r="22" customFormat="false" ht="15" hidden="false" customHeight="false" outlineLevel="0" collapsed="false">
      <c r="A22" s="4"/>
    </row>
    <row r="23" customFormat="false" ht="15" hidden="false" customHeight="false" outlineLevel="0" collapsed="false">
      <c r="A23" s="4" t="s">
        <v>18</v>
      </c>
    </row>
    <row r="24" customFormat="false" ht="15" hidden="false" customHeight="false" outlineLevel="0" collapsed="false">
      <c r="A24" s="4"/>
    </row>
    <row r="25" customFormat="false" ht="15" hidden="false" customHeight="false" outlineLevel="0" collapsed="false">
      <c r="A25" s="3" t="s">
        <v>19</v>
      </c>
    </row>
    <row r="26" customFormat="false" ht="15" hidden="false" customHeight="false" outlineLevel="0" collapsed="false">
      <c r="A26" s="4" t="s">
        <v>20</v>
      </c>
    </row>
    <row r="27" customFormat="false" ht="15" hidden="false" customHeight="false" outlineLevel="0" collapsed="false">
      <c r="A27" s="4" t="s">
        <v>21</v>
      </c>
    </row>
    <row r="28" customFormat="false" ht="15" hidden="false" customHeight="false" outlineLevel="0" collapsed="false">
      <c r="A28" s="4" t="s">
        <v>22</v>
      </c>
    </row>
    <row r="29" customFormat="false" ht="15" hidden="false" customHeight="false" outlineLevel="0" collapsed="false">
      <c r="A29" s="4"/>
    </row>
    <row r="30" customFormat="false" ht="15" hidden="false" customHeight="false" outlineLevel="0" collapsed="false">
      <c r="A30" s="3" t="s">
        <v>23</v>
      </c>
    </row>
    <row r="31" customFormat="false" ht="15" hidden="false" customHeight="false" outlineLevel="0" collapsed="false">
      <c r="A31" s="4" t="s">
        <v>24</v>
      </c>
    </row>
    <row r="32" customFormat="false" ht="15" hidden="false" customHeight="false" outlineLevel="0" collapsed="false">
      <c r="A32" s="4" t="s">
        <v>25</v>
      </c>
    </row>
    <row r="35" customFormat="false" ht="15" hidden="false" customHeight="false" outlineLevel="0" collapsed="false">
      <c r="A35" s="5" t="s">
        <v>26</v>
      </c>
    </row>
    <row r="36" customFormat="false" ht="15" hidden="false" customHeight="false" outlineLevel="0" collapsed="false">
      <c r="A36" s="6" t="s">
        <v>27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14"/>
  </cols>
  <sheetData>
    <row r="1" customFormat="false" ht="15" hidden="false" customHeight="false" outlineLevel="0" collapsed="false">
      <c r="A1" s="7" t="s">
        <v>28</v>
      </c>
      <c r="B1" s="7" t="s">
        <v>29</v>
      </c>
    </row>
    <row r="2" customFormat="false" ht="15" hidden="false" customHeight="false" outlineLevel="0" collapsed="false">
      <c r="A2" s="8" t="n">
        <v>44927</v>
      </c>
      <c r="B2" s="9" t="n">
        <v>44610.96</v>
      </c>
    </row>
    <row r="3" customFormat="false" ht="15" hidden="false" customHeight="false" outlineLevel="0" collapsed="false">
      <c r="A3" s="8" t="n">
        <v>44958</v>
      </c>
      <c r="B3" s="9" t="n">
        <v>43068.51</v>
      </c>
    </row>
    <row r="4" customFormat="false" ht="15" hidden="false" customHeight="false" outlineLevel="0" collapsed="false">
      <c r="A4" s="8" t="n">
        <v>44986</v>
      </c>
      <c r="B4" s="9" t="n">
        <v>52050.02</v>
      </c>
    </row>
    <row r="5" customFormat="false" ht="15" hidden="false" customHeight="false" outlineLevel="0" collapsed="false">
      <c r="A5" s="8" t="n">
        <v>45017</v>
      </c>
      <c r="B5" s="9" t="n">
        <v>58650.46</v>
      </c>
    </row>
    <row r="6" customFormat="false" ht="15" hidden="false" customHeight="false" outlineLevel="0" collapsed="false">
      <c r="A6" s="8" t="n">
        <v>45047</v>
      </c>
      <c r="B6" s="9" t="n">
        <v>54380.49</v>
      </c>
    </row>
    <row r="7" customFormat="false" ht="15" hidden="false" customHeight="false" outlineLevel="0" collapsed="false">
      <c r="A7" s="8" t="n">
        <v>45078</v>
      </c>
      <c r="B7" s="9" t="n">
        <v>48420.45</v>
      </c>
    </row>
    <row r="8" customFormat="false" ht="15" hidden="false" customHeight="false" outlineLevel="0" collapsed="false">
      <c r="A8" s="8" t="n">
        <v>45108</v>
      </c>
      <c r="B8" s="9" t="n">
        <v>52506.46</v>
      </c>
    </row>
    <row r="9" customFormat="false" ht="15" hidden="false" customHeight="false" outlineLevel="0" collapsed="false">
      <c r="A9" s="8" t="n">
        <v>45139</v>
      </c>
      <c r="B9" s="9" t="n">
        <v>51716.92</v>
      </c>
    </row>
    <row r="10" customFormat="false" ht="15" hidden="false" customHeight="false" outlineLevel="0" collapsed="false">
      <c r="A10" s="8" t="n">
        <v>45170</v>
      </c>
      <c r="B10" s="9" t="n">
        <v>64706.57</v>
      </c>
    </row>
    <row r="11" customFormat="false" ht="15" hidden="false" customHeight="false" outlineLevel="0" collapsed="false">
      <c r="A11" s="8" t="n">
        <v>45200</v>
      </c>
      <c r="B11" s="9" t="n">
        <v>73467.3</v>
      </c>
    </row>
    <row r="12" customFormat="false" ht="15" hidden="false" customHeight="false" outlineLevel="0" collapsed="false">
      <c r="A12" s="8" t="n">
        <v>45231</v>
      </c>
      <c r="B12" s="9" t="n">
        <v>88009.81</v>
      </c>
    </row>
    <row r="13" customFormat="false" ht="15" hidden="false" customHeight="false" outlineLevel="0" collapsed="false">
      <c r="A13" s="8" t="n">
        <v>45261</v>
      </c>
      <c r="B13" s="9" t="n">
        <v>108179.54</v>
      </c>
    </row>
    <row r="14" customFormat="false" ht="15" hidden="false" customHeight="false" outlineLevel="0" collapsed="false">
      <c r="A14" s="8" t="n">
        <v>45292</v>
      </c>
      <c r="B14" s="9" t="n">
        <v>60243.52</v>
      </c>
    </row>
    <row r="15" customFormat="false" ht="15" hidden="false" customHeight="false" outlineLevel="0" collapsed="false">
      <c r="A15" s="8" t="n">
        <v>45323</v>
      </c>
      <c r="B15" s="9" t="n">
        <v>56129.71</v>
      </c>
    </row>
    <row r="16" customFormat="false" ht="15" hidden="false" customHeight="false" outlineLevel="0" collapsed="false">
      <c r="A16" s="8" t="n">
        <v>45352</v>
      </c>
      <c r="B16" s="9" t="n">
        <v>63840.81</v>
      </c>
    </row>
    <row r="17" customFormat="false" ht="15" hidden="false" customHeight="false" outlineLevel="0" collapsed="false">
      <c r="A17" s="8" t="n">
        <v>45383</v>
      </c>
      <c r="B17" s="9" t="n">
        <v>67053.19</v>
      </c>
    </row>
    <row r="18" customFormat="false" ht="15" hidden="false" customHeight="false" outlineLevel="0" collapsed="false">
      <c r="A18" s="8" t="n">
        <v>45413</v>
      </c>
      <c r="B18" s="9" t="n">
        <v>70222.81</v>
      </c>
    </row>
    <row r="19" customFormat="false" ht="15" hidden="false" customHeight="false" outlineLevel="0" collapsed="false">
      <c r="A19" s="8" t="n">
        <v>45444</v>
      </c>
      <c r="B19" s="9" t="n">
        <v>72141.11</v>
      </c>
    </row>
    <row r="20" customFormat="false" ht="15" hidden="false" customHeight="false" outlineLevel="0" collapsed="false">
      <c r="A20" s="8" t="n">
        <v>45474</v>
      </c>
      <c r="B20" s="9" t="n">
        <v>64601.06</v>
      </c>
    </row>
    <row r="21" customFormat="false" ht="15" hidden="false" customHeight="false" outlineLevel="0" collapsed="false">
      <c r="A21" s="8" t="n">
        <v>45505</v>
      </c>
      <c r="B21" s="9" t="n">
        <v>65102.02</v>
      </c>
    </row>
    <row r="22" customFormat="false" ht="15" hidden="false" customHeight="false" outlineLevel="0" collapsed="false">
      <c r="A22" s="8" t="n">
        <v>45536</v>
      </c>
      <c r="B22" s="9" t="n">
        <v>83997.2</v>
      </c>
    </row>
    <row r="23" customFormat="false" ht="15" hidden="false" customHeight="false" outlineLevel="0" collapsed="false">
      <c r="A23" s="8" t="n">
        <v>45566</v>
      </c>
      <c r="B23" s="9" t="n">
        <v>82369.92</v>
      </c>
    </row>
    <row r="24" customFormat="false" ht="15" hidden="false" customHeight="false" outlineLevel="0" collapsed="false">
      <c r="A24" s="8" t="n">
        <v>45597</v>
      </c>
      <c r="B24" s="9" t="n">
        <v>104955.93</v>
      </c>
    </row>
    <row r="25" customFormat="false" ht="15" hidden="false" customHeight="false" outlineLevel="0" collapsed="false">
      <c r="A25" s="8" t="n">
        <v>45627</v>
      </c>
      <c r="B25" s="9" t="n">
        <v>127813</v>
      </c>
    </row>
    <row r="26" customFormat="false" ht="15" hidden="false" customHeight="false" outlineLevel="0" collapsed="false">
      <c r="A26" s="8" t="n">
        <v>45658</v>
      </c>
      <c r="B26" s="9" t="n">
        <v>74636.51</v>
      </c>
    </row>
    <row r="27" customFormat="false" ht="15" hidden="false" customHeight="false" outlineLevel="0" collapsed="false">
      <c r="A27" s="8" t="n">
        <v>45689</v>
      </c>
      <c r="B27" s="9" t="n">
        <v>67018.23</v>
      </c>
    </row>
    <row r="28" customFormat="false" ht="15" hidden="false" customHeight="false" outlineLevel="0" collapsed="false">
      <c r="A28" s="8" t="n">
        <v>45717</v>
      </c>
      <c r="B28" s="9" t="n">
        <v>83034.79</v>
      </c>
    </row>
    <row r="29" customFormat="false" ht="15" hidden="false" customHeight="false" outlineLevel="0" collapsed="false">
      <c r="A29" s="8" t="n">
        <v>45748</v>
      </c>
      <c r="B29" s="9" t="n">
        <v>87808.53</v>
      </c>
    </row>
    <row r="30" customFormat="false" ht="15" hidden="false" customHeight="false" outlineLevel="0" collapsed="false">
      <c r="A30" s="8" t="n">
        <v>45778</v>
      </c>
      <c r="B30" s="9" t="n">
        <v>87524.15</v>
      </c>
    </row>
    <row r="31" customFormat="false" ht="15" hidden="false" customHeight="false" outlineLevel="0" collapsed="false">
      <c r="A31" s="8" t="n">
        <v>45809</v>
      </c>
      <c r="B31" s="9" t="n">
        <v>75179.13</v>
      </c>
    </row>
    <row r="32" customFormat="false" ht="15" hidden="false" customHeight="false" outlineLevel="0" collapsed="false">
      <c r="A32" s="8" t="n">
        <v>45839</v>
      </c>
      <c r="B32" s="9" t="n">
        <v>80038.96</v>
      </c>
    </row>
    <row r="33" customFormat="false" ht="15" hidden="false" customHeight="false" outlineLevel="0" collapsed="false">
      <c r="A33" s="8" t="n">
        <v>45870</v>
      </c>
      <c r="B33" s="9" t="n">
        <v>71348.43</v>
      </c>
    </row>
    <row r="34" customFormat="false" ht="15" hidden="false" customHeight="false" outlineLevel="0" collapsed="false">
      <c r="A34" s="8" t="n">
        <v>45901</v>
      </c>
      <c r="B34" s="9" t="n">
        <v>81954.19</v>
      </c>
    </row>
    <row r="35" customFormat="false" ht="15" hidden="false" customHeight="false" outlineLevel="0" collapsed="false">
      <c r="A35" s="8" t="n">
        <v>45931</v>
      </c>
      <c r="B35" s="9" t="n">
        <v>103604.83</v>
      </c>
    </row>
    <row r="36" customFormat="false" ht="15" hidden="false" customHeight="false" outlineLevel="0" collapsed="false">
      <c r="A36" s="8" t="n">
        <v>45962</v>
      </c>
      <c r="B36" s="9" t="n">
        <v>120134.93</v>
      </c>
    </row>
    <row r="37" customFormat="false" ht="15" hidden="false" customHeight="false" outlineLevel="0" collapsed="false">
      <c r="A37" s="8" t="n">
        <v>45992</v>
      </c>
      <c r="B37" s="9" t="n">
        <v>154936.94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9" min="1" style="0" width="14"/>
  </cols>
  <sheetData>
    <row r="1" customFormat="false" ht="15" hidden="false" customHeight="false" outlineLevel="0" collapsed="false">
      <c r="A1" s="10" t="s">
        <v>30</v>
      </c>
      <c r="E1" s="0" t="s">
        <v>31</v>
      </c>
      <c r="F1" s="11" t="n">
        <v>0.3</v>
      </c>
    </row>
    <row r="2" customFormat="false" ht="15" hidden="false" customHeight="false" outlineLevel="0" collapsed="false">
      <c r="E2" s="0" t="s">
        <v>32</v>
      </c>
      <c r="F2" s="11" t="n">
        <v>0.1</v>
      </c>
    </row>
    <row r="3" customFormat="false" ht="15" hidden="false" customHeight="false" outlineLevel="0" collapsed="false">
      <c r="E3" s="0" t="s">
        <v>33</v>
      </c>
      <c r="F3" s="11" t="n">
        <v>0.3</v>
      </c>
    </row>
    <row r="4" customFormat="false" ht="15" hidden="false" customHeight="false" outlineLevel="0" collapsed="false">
      <c r="E4" s="0" t="s">
        <v>34</v>
      </c>
      <c r="F4" s="12" t="n">
        <v>12</v>
      </c>
    </row>
    <row r="6" customFormat="false" ht="15" hidden="false" customHeight="false" outlineLevel="0" collapsed="false">
      <c r="A6" s="7" t="s">
        <v>28</v>
      </c>
      <c r="B6" s="7" t="s">
        <v>35</v>
      </c>
      <c r="C6" s="7" t="s">
        <v>36</v>
      </c>
      <c r="D6" s="7" t="s">
        <v>37</v>
      </c>
      <c r="E6" s="7" t="s">
        <v>38</v>
      </c>
      <c r="F6" s="7" t="s">
        <v>39</v>
      </c>
      <c r="G6" s="7" t="s">
        <v>40</v>
      </c>
      <c r="H6" s="7" t="s">
        <v>41</v>
      </c>
      <c r="I6" s="7" t="s">
        <v>42</v>
      </c>
    </row>
    <row r="7" customFormat="false" ht="15" hidden="false" customHeight="false" outlineLevel="0" collapsed="false">
      <c r="A7" s="8" t="n">
        <f aca="false">Data!A2</f>
        <v>44927</v>
      </c>
      <c r="B7" s="13" t="n">
        <f aca="false">Data!B2</f>
        <v>44610.96</v>
      </c>
      <c r="E7" s="14" t="n">
        <f aca="false">B7/AVERAGE($B$7:$B$18)</f>
        <v>0.723648345238853</v>
      </c>
    </row>
    <row r="8" customFormat="false" ht="15" hidden="false" customHeight="false" outlineLevel="0" collapsed="false">
      <c r="A8" s="8" t="n">
        <f aca="false">Data!A3</f>
        <v>44958</v>
      </c>
      <c r="B8" s="13" t="n">
        <f aca="false">Data!B3</f>
        <v>43068.51</v>
      </c>
      <c r="E8" s="14" t="n">
        <f aca="false">B8/AVERAGE($B$7:$B$18)</f>
        <v>0.698627781007246</v>
      </c>
    </row>
    <row r="9" customFormat="false" ht="15" hidden="false" customHeight="false" outlineLevel="0" collapsed="false">
      <c r="A9" s="8" t="n">
        <f aca="false">Data!A4</f>
        <v>44986</v>
      </c>
      <c r="B9" s="13" t="n">
        <f aca="false">Data!B4</f>
        <v>52050.02</v>
      </c>
      <c r="E9" s="14" t="n">
        <f aca="false">B9/AVERAGE($B$7:$B$18)</f>
        <v>0.844319665899349</v>
      </c>
    </row>
    <row r="10" customFormat="false" ht="15" hidden="false" customHeight="false" outlineLevel="0" collapsed="false">
      <c r="A10" s="8" t="n">
        <f aca="false">Data!A5</f>
        <v>45017</v>
      </c>
      <c r="B10" s="13" t="n">
        <f aca="false">Data!B5</f>
        <v>58650.46</v>
      </c>
      <c r="E10" s="14" t="n">
        <f aca="false">B10/AVERAGE($B$7:$B$18)</f>
        <v>0.951387469054635</v>
      </c>
    </row>
    <row r="11" customFormat="false" ht="15" hidden="false" customHeight="false" outlineLevel="0" collapsed="false">
      <c r="A11" s="8" t="n">
        <f aca="false">Data!A6</f>
        <v>45047</v>
      </c>
      <c r="B11" s="13" t="n">
        <f aca="false">Data!B6</f>
        <v>54380.49</v>
      </c>
      <c r="E11" s="14" t="n">
        <f aca="false">B11/AVERAGE($B$7:$B$18)</f>
        <v>0.882122949198538</v>
      </c>
    </row>
    <row r="12" customFormat="false" ht="15" hidden="false" customHeight="false" outlineLevel="0" collapsed="false">
      <c r="A12" s="8" t="n">
        <f aca="false">Data!A7</f>
        <v>45078</v>
      </c>
      <c r="B12" s="13" t="n">
        <f aca="false">Data!B7</f>
        <v>48420.45</v>
      </c>
      <c r="E12" s="14" t="n">
        <f aca="false">B12/AVERAGE($B$7:$B$18)</f>
        <v>0.785443274886275</v>
      </c>
    </row>
    <row r="13" customFormat="false" ht="15" hidden="false" customHeight="false" outlineLevel="0" collapsed="false">
      <c r="A13" s="8" t="n">
        <f aca="false">Data!A8</f>
        <v>45108</v>
      </c>
      <c r="B13" s="13" t="n">
        <f aca="false">Data!B8</f>
        <v>52506.46</v>
      </c>
      <c r="E13" s="14" t="n">
        <f aca="false">B13/AVERAGE($B$7:$B$18)</f>
        <v>0.851723722003518</v>
      </c>
    </row>
    <row r="14" customFormat="false" ht="15" hidden="false" customHeight="false" outlineLevel="0" collapsed="false">
      <c r="A14" s="8" t="n">
        <f aca="false">Data!A9</f>
        <v>45139</v>
      </c>
      <c r="B14" s="13" t="n">
        <f aca="false">Data!B9</f>
        <v>51716.92</v>
      </c>
      <c r="E14" s="14" t="n">
        <f aca="false">B14/AVERAGE($B$7:$B$18)</f>
        <v>0.838916346540181</v>
      </c>
    </row>
    <row r="15" customFormat="false" ht="15" hidden="false" customHeight="false" outlineLevel="0" collapsed="false">
      <c r="A15" s="8" t="n">
        <f aca="false">Data!A10</f>
        <v>45170</v>
      </c>
      <c r="B15" s="13" t="n">
        <f aca="false">Data!B10</f>
        <v>64706.57</v>
      </c>
      <c r="E15" s="14" t="n">
        <f aca="false">B15/AVERAGE($B$7:$B$18)</f>
        <v>1.04962552490648</v>
      </c>
    </row>
    <row r="16" customFormat="false" ht="15" hidden="false" customHeight="false" outlineLevel="0" collapsed="false">
      <c r="A16" s="8" t="n">
        <f aca="false">Data!A11</f>
        <v>45200</v>
      </c>
      <c r="B16" s="13" t="n">
        <f aca="false">Data!B11</f>
        <v>73467.3</v>
      </c>
      <c r="E16" s="14" t="n">
        <f aca="false">B16/AVERAGE($B$7:$B$18)</f>
        <v>1.19173606831519</v>
      </c>
    </row>
    <row r="17" customFormat="false" ht="15" hidden="false" customHeight="false" outlineLevel="0" collapsed="false">
      <c r="A17" s="8" t="n">
        <f aca="false">Data!A12</f>
        <v>45231</v>
      </c>
      <c r="B17" s="13" t="n">
        <f aca="false">Data!B12</f>
        <v>88009.81</v>
      </c>
      <c r="E17" s="14" t="n">
        <f aca="false">B17/AVERAGE($B$7:$B$18)</f>
        <v>1.4276346747814</v>
      </c>
    </row>
    <row r="18" customFormat="false" ht="15" hidden="false" customHeight="false" outlineLevel="0" collapsed="false">
      <c r="A18" s="8" t="n">
        <f aca="false">Data!A13</f>
        <v>45261</v>
      </c>
      <c r="B18" s="13" t="n">
        <f aca="false">Data!B13</f>
        <v>108179.54</v>
      </c>
      <c r="C18" s="13" t="n">
        <f aca="false">AVERAGE($B$7:$B$18)</f>
        <v>61647.2908333333</v>
      </c>
      <c r="D18" s="15" t="n">
        <f aca="false">(AVERAGE($B$19:$B$30)-AVERAGE($B$7:$B$18))/$F$4</f>
        <v>1240.99159722222</v>
      </c>
      <c r="E18" s="14" t="n">
        <f aca="false">B18/AVERAGE($B$7:$B$18)</f>
        <v>1.75481417816833</v>
      </c>
    </row>
    <row r="19" customFormat="false" ht="15" hidden="false" customHeight="false" outlineLevel="0" collapsed="false">
      <c r="A19" s="8" t="n">
        <f aca="false">Data!A14</f>
        <v>45292</v>
      </c>
      <c r="B19" s="13" t="n">
        <f aca="false">Data!B14</f>
        <v>60243.52</v>
      </c>
      <c r="C19" s="13" t="n">
        <f aca="false">$F$1*(B19/E7) + (1-$F$1)*(C18+D18)</f>
        <v>68996.7128226757</v>
      </c>
      <c r="D19" s="15" t="n">
        <f aca="false">$F$2*(C19-C18) + (1-$F$2)*D18</f>
        <v>1851.83463643423</v>
      </c>
      <c r="E19" s="14" t="n">
        <f aca="false">$F$3*(B19/C19) + (1-$F$3)*E7</f>
        <v>0.768494668420038</v>
      </c>
      <c r="F19" s="13" t="n">
        <f aca="false">(C18+D18)*E7</f>
        <v>45509.0015157852</v>
      </c>
    </row>
    <row r="20" customFormat="false" ht="15" hidden="false" customHeight="false" outlineLevel="0" collapsed="false">
      <c r="A20" s="8" t="n">
        <f aca="false">Data!A15</f>
        <v>45323</v>
      </c>
      <c r="B20" s="13" t="n">
        <f aca="false">Data!B15</f>
        <v>56129.71</v>
      </c>
      <c r="C20" s="13" t="n">
        <f aca="false">$F$1*(B20/E8) + (1-$F$1)*(C19+D19)</f>
        <v>73696.8223265189</v>
      </c>
      <c r="D20" s="15" t="n">
        <f aca="false">$F$2*(C20-C19) + (1-$F$2)*D19</f>
        <v>2136.66212317513</v>
      </c>
      <c r="E20" s="14" t="n">
        <f aca="false">$F$3*(B20/C20) + (1-$F$3)*E8</f>
        <v>0.717528443495111</v>
      </c>
      <c r="F20" s="13" t="n">
        <f aca="false">(C19+D19)*E8</f>
        <v>49496.7634989445</v>
      </c>
    </row>
    <row r="21" customFormat="false" ht="15" hidden="false" customHeight="false" outlineLevel="0" collapsed="false">
      <c r="A21" s="8" t="n">
        <f aca="false">Data!A16</f>
        <v>45352</v>
      </c>
      <c r="B21" s="13" t="n">
        <f aca="false">Data!B16</f>
        <v>63840.81</v>
      </c>
      <c r="C21" s="13" t="n">
        <f aca="false">$F$1*(B21/E9) + (1-$F$1)*(C20+D20)</f>
        <v>75767.0787047739</v>
      </c>
      <c r="D21" s="15" t="n">
        <f aca="false">$F$2*(C21-C20) + (1-$F$2)*D20</f>
        <v>2130.02154868312</v>
      </c>
      <c r="E21" s="14" t="n">
        <f aca="false">$F$3*(B21/C21) + (1-$F$3)*E9</f>
        <v>0.843801665547135</v>
      </c>
      <c r="F21" s="13" t="n">
        <f aca="false">(C20+D20)*E9</f>
        <v>64027.7022545491</v>
      </c>
    </row>
    <row r="22" customFormat="false" ht="15" hidden="false" customHeight="false" outlineLevel="0" collapsed="false">
      <c r="A22" s="8" t="n">
        <f aca="false">Data!A17</f>
        <v>45383</v>
      </c>
      <c r="B22" s="13" t="n">
        <f aca="false">Data!B17</f>
        <v>67053.19</v>
      </c>
      <c r="C22" s="13" t="n">
        <f aca="false">$F$1*(B22/E10) + (1-$F$1)*(C21+D21)</f>
        <v>75671.78135247</v>
      </c>
      <c r="D22" s="15" t="n">
        <f aca="false">$F$2*(C22-C21) + (1-$F$2)*D21</f>
        <v>1907.48965858442</v>
      </c>
      <c r="E22" s="14" t="n">
        <f aca="false">$F$3*(B22/C22) + (1-$F$3)*E10</f>
        <v>0.931802911436893</v>
      </c>
      <c r="F22" s="13" t="n">
        <f aca="false">(C21+D21)*E10</f>
        <v>74110.3250568316</v>
      </c>
    </row>
    <row r="23" customFormat="false" ht="15" hidden="false" customHeight="false" outlineLevel="0" collapsed="false">
      <c r="A23" s="8" t="n">
        <f aca="false">Data!A18</f>
        <v>45413</v>
      </c>
      <c r="B23" s="13" t="n">
        <f aca="false">Data!B18</f>
        <v>70222.81</v>
      </c>
      <c r="C23" s="13" t="n">
        <f aca="false">$F$1*(B23/E11) + (1-$F$1)*(C22+D22)</f>
        <v>78187.4701268401</v>
      </c>
      <c r="D23" s="15" t="n">
        <f aca="false">$F$2*(C23-C22) + (1-$F$2)*D22</f>
        <v>1968.30957016299</v>
      </c>
      <c r="E23" s="14" t="n">
        <f aca="false">$F$3*(B23/C23) + (1-$F$3)*E11</f>
        <v>0.886926205753489</v>
      </c>
      <c r="F23" s="13" t="n">
        <f aca="false">(C22+D22)*E11</f>
        <v>68434.455340944</v>
      </c>
    </row>
    <row r="24" customFormat="false" ht="15" hidden="false" customHeight="false" outlineLevel="0" collapsed="false">
      <c r="A24" s="8" t="n">
        <f aca="false">Data!A19</f>
        <v>45444</v>
      </c>
      <c r="B24" s="13" t="n">
        <f aca="false">Data!B19</f>
        <v>72141.11</v>
      </c>
      <c r="C24" s="13" t="n">
        <f aca="false">$F$1*(B24/E12) + (1-$F$1)*(C23+D23)</f>
        <v>83663.3373478288</v>
      </c>
      <c r="D24" s="15" t="n">
        <f aca="false">$F$2*(C24-C23) + (1-$F$2)*D23</f>
        <v>2319.06533524555</v>
      </c>
      <c r="E24" s="14" t="n">
        <f aca="false">$F$3*(B24/C24) + (1-$F$3)*E12</f>
        <v>0.808493888916459</v>
      </c>
      <c r="F24" s="13" t="n">
        <f aca="false">(C23+D23)*E12</f>
        <v>62957.8181062769</v>
      </c>
    </row>
    <row r="25" customFormat="false" ht="15" hidden="false" customHeight="false" outlineLevel="0" collapsed="false">
      <c r="A25" s="8" t="n">
        <f aca="false">Data!A20</f>
        <v>45474</v>
      </c>
      <c r="B25" s="13" t="n">
        <f aca="false">Data!B20</f>
        <v>64601.06</v>
      </c>
      <c r="C25" s="13" t="n">
        <f aca="false">$F$1*(B25/E13) + (1-$F$1)*(C24+D24)</f>
        <v>82941.9125040309</v>
      </c>
      <c r="D25" s="15" t="n">
        <f aca="false">$F$2*(C25-C24) + (1-$F$2)*D24</f>
        <v>2015.01631734121</v>
      </c>
      <c r="E25" s="14" t="n">
        <f aca="false">$F$3*(B25/C25) + (1-$F$3)*E13</f>
        <v>0.829867940364544</v>
      </c>
      <c r="F25" s="13" t="n">
        <f aca="false">(C24+D24)*E13</f>
        <v>73233.2520400333</v>
      </c>
    </row>
    <row r="26" customFormat="false" ht="15" hidden="false" customHeight="false" outlineLevel="0" collapsed="false">
      <c r="A26" s="8" t="n">
        <f aca="false">Data!A21</f>
        <v>45505</v>
      </c>
      <c r="B26" s="13" t="n">
        <f aca="false">Data!B21</f>
        <v>65102.02</v>
      </c>
      <c r="C26" s="13" t="n">
        <f aca="false">$F$1*(B26/E14) + (1-$F$1)*(C25+D25)</f>
        <v>82750.6052592394</v>
      </c>
      <c r="D26" s="15" t="n">
        <f aca="false">$F$2*(C26-C25) + (1-$F$2)*D25</f>
        <v>1794.38396112794</v>
      </c>
      <c r="E26" s="14" t="n">
        <f aca="false">$F$3*(B26/C26) + (1-$F$3)*E14</f>
        <v>0.823259124126376</v>
      </c>
      <c r="F26" s="13" t="n">
        <f aca="false">(C25+D25)*E14</f>
        <v>71271.7563400997</v>
      </c>
    </row>
    <row r="27" customFormat="false" ht="15" hidden="false" customHeight="false" outlineLevel="0" collapsed="false">
      <c r="A27" s="8" t="n">
        <f aca="false">Data!A22</f>
        <v>45536</v>
      </c>
      <c r="B27" s="13" t="n">
        <f aca="false">Data!B22</f>
        <v>83997.2</v>
      </c>
      <c r="C27" s="13" t="n">
        <f aca="false">$F$1*(B27/E15) + (1-$F$1)*(C26+D26)</f>
        <v>83189.2546532997</v>
      </c>
      <c r="D27" s="15" t="n">
        <f aca="false">$F$2*(C27-C26) + (1-$F$2)*D26</f>
        <v>1658.81050442117</v>
      </c>
      <c r="E27" s="14" t="n">
        <f aca="false">$F$3*(B27/C27) + (1-$F$3)*E15</f>
        <v>1.03765150820485</v>
      </c>
      <c r="F27" s="13" t="n">
        <f aca="false">(C26+D26)*E15</f>
        <v>88740.5786886408</v>
      </c>
    </row>
    <row r="28" customFormat="false" ht="15" hidden="false" customHeight="false" outlineLevel="0" collapsed="false">
      <c r="A28" s="8" t="n">
        <f aca="false">Data!A23</f>
        <v>45566</v>
      </c>
      <c r="B28" s="13" t="n">
        <f aca="false">Data!B23</f>
        <v>82369.92</v>
      </c>
      <c r="C28" s="13" t="n">
        <f aca="false">$F$1*(B28/E16) + (1-$F$1)*(C27+D27)</f>
        <v>80128.921362304</v>
      </c>
      <c r="D28" s="15" t="n">
        <f aca="false">$F$2*(C28-C27) + (1-$F$2)*D27</f>
        <v>1186.89612487949</v>
      </c>
      <c r="E28" s="14" t="n">
        <f aca="false">$F$3*(B28/C28) + (1-$F$3)*E16</f>
        <v>1.1426054717233</v>
      </c>
      <c r="F28" s="13" t="n">
        <f aca="false">(C27+D27)*E16</f>
        <v>101116.499575214</v>
      </c>
    </row>
    <row r="29" customFormat="false" ht="15" hidden="false" customHeight="false" outlineLevel="0" collapsed="false">
      <c r="A29" s="8" t="n">
        <f aca="false">Data!A24</f>
        <v>45597</v>
      </c>
      <c r="B29" s="13" t="n">
        <f aca="false">Data!B24</f>
        <v>104955.93</v>
      </c>
      <c r="C29" s="13" t="n">
        <f aca="false">$F$1*(B29/E17) + (1-$F$1)*(C28+D28)</f>
        <v>78976.2797504855</v>
      </c>
      <c r="D29" s="15" t="n">
        <f aca="false">$F$2*(C29-C28) + (1-$F$2)*D28</f>
        <v>952.942351209695</v>
      </c>
      <c r="E29" s="14" t="n">
        <f aca="false">$F$3*(B29/C29) + (1-$F$3)*E17</f>
        <v>1.39803080328358</v>
      </c>
      <c r="F29" s="13" t="n">
        <f aca="false">(C28+D28)*E17</f>
        <v>116089.280652899</v>
      </c>
    </row>
    <row r="30" customFormat="false" ht="15" hidden="false" customHeight="false" outlineLevel="0" collapsed="false">
      <c r="A30" s="8" t="n">
        <f aca="false">Data!A25</f>
        <v>45627</v>
      </c>
      <c r="B30" s="13" t="n">
        <f aca="false">Data!B25</f>
        <v>127813</v>
      </c>
      <c r="C30" s="13" t="n">
        <f aca="false">$F$1*(B30/E18) + (1-$F$1)*(C29+D29)</f>
        <v>77801.1451208584</v>
      </c>
      <c r="D30" s="15" t="n">
        <f aca="false">$F$2*(C30-C29) + (1-$F$2)*D29</f>
        <v>740.134653126011</v>
      </c>
      <c r="E30" s="14" t="n">
        <f aca="false">$F$3*(B30/C30) + (1-$F$3)*E18</f>
        <v>1.72121485573312</v>
      </c>
      <c r="F30" s="13" t="n">
        <f aca="false">(C29+D29)*E18</f>
        <v>140260.93219402</v>
      </c>
    </row>
    <row r="31" customFormat="false" ht="15" hidden="false" customHeight="false" outlineLevel="0" collapsed="false">
      <c r="A31" s="8" t="n">
        <f aca="false">Data!A26</f>
        <v>45658</v>
      </c>
      <c r="B31" s="13" t="n">
        <f aca="false">Data!B26</f>
        <v>74636.51</v>
      </c>
      <c r="C31" s="13" t="n">
        <f aca="false">$F$1*(B31/E19) + (1-$F$1)*(C30+D30)</f>
        <v>84115.0159999601</v>
      </c>
      <c r="D31" s="15" t="n">
        <f aca="false">$F$2*(C31-C30) + (1-$F$2)*D30</f>
        <v>1297.50827572358</v>
      </c>
      <c r="E31" s="14" t="n">
        <f aca="false">$F$3*(B31/C31) + (1-$F$3)*E19</f>
        <v>0.804140748556203</v>
      </c>
      <c r="F31" s="13" t="n">
        <f aca="false">(C30+D30)*E19</f>
        <v>60358.5547571936</v>
      </c>
    </row>
    <row r="32" customFormat="false" ht="15" hidden="false" customHeight="false" outlineLevel="0" collapsed="false">
      <c r="A32" s="8" t="n">
        <f aca="false">Data!A27</f>
        <v>45689</v>
      </c>
      <c r="B32" s="13" t="n">
        <f aca="false">Data!B27</f>
        <v>67018.23</v>
      </c>
      <c r="C32" s="13" t="n">
        <f aca="false">$F$1*(B32/E20) + (1-$F$1)*(C31+D31)</f>
        <v>87809.2157741661</v>
      </c>
      <c r="D32" s="15" t="n">
        <f aca="false">$F$2*(C32-C31) + (1-$F$2)*D31</f>
        <v>1537.17742557183</v>
      </c>
      <c r="E32" s="14" t="n">
        <f aca="false">$F$3*(B32/C32) + (1-$F$3)*E20</f>
        <v>0.731237551516379</v>
      </c>
      <c r="F32" s="13" t="n">
        <f aca="false">(C31+D31)*E20</f>
        <v>61285.9155985196</v>
      </c>
    </row>
    <row r="33" customFormat="false" ht="15" hidden="false" customHeight="false" outlineLevel="0" collapsed="false">
      <c r="A33" s="8" t="n">
        <f aca="false">Data!A28</f>
        <v>45717</v>
      </c>
      <c r="B33" s="13" t="n">
        <f aca="false">Data!B28</f>
        <v>83034.79</v>
      </c>
      <c r="C33" s="13" t="n">
        <f aca="false">$F$1*(B33/E21) + (1-$F$1)*(C32+D32)</f>
        <v>92064.1484209754</v>
      </c>
      <c r="D33" s="15" t="n">
        <f aca="false">$F$2*(C33-C32) + (1-$F$2)*D32</f>
        <v>1808.95294769557</v>
      </c>
      <c r="E33" s="14" t="n">
        <f aca="false">$F$3*(B33/C33) + (1-$F$3)*E21</f>
        <v>0.861238121486752</v>
      </c>
      <c r="F33" s="13" t="n">
        <f aca="false">(C32+D32)*E21</f>
        <v>75390.6353925681</v>
      </c>
    </row>
    <row r="34" customFormat="false" ht="15" hidden="false" customHeight="false" outlineLevel="0" collapsed="false">
      <c r="A34" s="8" t="n">
        <f aca="false">Data!A29</f>
        <v>45748</v>
      </c>
      <c r="B34" s="13" t="n">
        <f aca="false">Data!B29</f>
        <v>87808.53</v>
      </c>
      <c r="C34" s="13" t="n">
        <f aca="false">$F$1*(B34/E22) + (1-$F$1)*(C33+D33)</f>
        <v>93981.6975647941</v>
      </c>
      <c r="D34" s="15" t="n">
        <f aca="false">$F$2*(C34-C33) + (1-$F$2)*D33</f>
        <v>1819.81256730789</v>
      </c>
      <c r="E34" s="14" t="n">
        <f aca="false">$F$3*(B34/C34) + (1-$F$3)*E22</f>
        <v>0.932556602613349</v>
      </c>
      <c r="F34" s="13" t="n">
        <f aca="false">(C33+D33)*E22</f>
        <v>87471.2291609382</v>
      </c>
    </row>
    <row r="35" customFormat="false" ht="15" hidden="false" customHeight="false" outlineLevel="0" collapsed="false">
      <c r="A35" s="8" t="n">
        <f aca="false">Data!A30</f>
        <v>45778</v>
      </c>
      <c r="B35" s="13" t="n">
        <f aca="false">Data!B30</f>
        <v>87524.15</v>
      </c>
      <c r="C35" s="13" t="n">
        <f aca="false">$F$1*(B35/E23) + (1-$F$1)*(C34+D34)</f>
        <v>96665.8255948218</v>
      </c>
      <c r="D35" s="15" t="n">
        <f aca="false">$F$2*(C35-C34) + (1-$F$2)*D34</f>
        <v>1906.24411357986</v>
      </c>
      <c r="E35" s="14" t="n">
        <f aca="false">$F$3*(B35/C35) + (1-$F$3)*E23</f>
        <v>0.892477379815728</v>
      </c>
      <c r="F35" s="13" t="n">
        <f aca="false">(C34+D34)*E23</f>
        <v>84968.8698869197</v>
      </c>
    </row>
    <row r="36" customFormat="false" ht="15" hidden="false" customHeight="false" outlineLevel="0" collapsed="false">
      <c r="A36" s="8" t="n">
        <f aca="false">Data!A31</f>
        <v>45809</v>
      </c>
      <c r="B36" s="13" t="n">
        <f aca="false">Data!B31</f>
        <v>75179.13</v>
      </c>
      <c r="C36" s="13" t="n">
        <f aca="false">$F$1*(B36/E24) + (1-$F$1)*(C35+D35)</f>
        <v>96896.4407250551</v>
      </c>
      <c r="D36" s="15" t="n">
        <f aca="false">$F$2*(C36-C35) + (1-$F$2)*D35</f>
        <v>1738.68121524521</v>
      </c>
      <c r="E36" s="14" t="n">
        <f aca="false">$F$3*(B36/C36) + (1-$F$3)*E24</f>
        <v>0.798706996352678</v>
      </c>
      <c r="F36" s="13" t="n">
        <f aca="false">(C35+D35)*E24</f>
        <v>79694.9159770899</v>
      </c>
    </row>
    <row r="37" customFormat="false" ht="15" hidden="false" customHeight="false" outlineLevel="0" collapsed="false">
      <c r="A37" s="8" t="n">
        <f aca="false">Data!A32</f>
        <v>45839</v>
      </c>
      <c r="B37" s="13" t="n">
        <f aca="false">Data!B32</f>
        <v>80038.96</v>
      </c>
      <c r="C37" s="13" t="n">
        <f aca="false">$F$1*(B37/E25) + (1-$F$1)*(C36+D36)</f>
        <v>97978.9336226487</v>
      </c>
      <c r="D37" s="15" t="n">
        <f aca="false">$F$2*(C37-C36) + (1-$F$2)*D36</f>
        <v>1673.06238348005</v>
      </c>
      <c r="E37" s="14" t="n">
        <f aca="false">$F$3*(B37/C37) + (1-$F$3)*E25</f>
        <v>0.825977463715444</v>
      </c>
      <c r="F37" s="13" t="n">
        <f aca="false">(C36+D36)*E25</f>
        <v>81854.1254922026</v>
      </c>
    </row>
    <row r="38" customFormat="false" ht="15" hidden="false" customHeight="false" outlineLevel="0" collapsed="false">
      <c r="A38" s="8" t="n">
        <f aca="false">Data!A33</f>
        <v>45870</v>
      </c>
      <c r="B38" s="13" t="n">
        <f aca="false">Data!B33</f>
        <v>71348.43</v>
      </c>
      <c r="C38" s="13" t="n">
        <f aca="false">$F$1*(B38/E26) + (1-$F$1)*(C37+D37)</f>
        <v>95756.1442738583</v>
      </c>
      <c r="D38" s="15" t="n">
        <f aca="false">$F$2*(C38-C37) + (1-$F$2)*D37</f>
        <v>1283.47721025301</v>
      </c>
      <c r="E38" s="14" t="n">
        <f aca="false">$F$3*(B38/C38) + (1-$F$3)*E26</f>
        <v>0.799813037649003</v>
      </c>
      <c r="F38" s="13" t="n">
        <f aca="false">(C37+D37)*E26</f>
        <v>82039.4149494507</v>
      </c>
    </row>
    <row r="39" customFormat="false" ht="15" hidden="false" customHeight="false" outlineLevel="0" collapsed="false">
      <c r="A39" s="8" t="n">
        <f aca="false">Data!A34</f>
        <v>45901</v>
      </c>
      <c r="B39" s="13" t="n">
        <f aca="false">Data!B34</f>
        <v>81954.19</v>
      </c>
      <c r="C39" s="13" t="n">
        <f aca="false">$F$1*(B39/E27) + (1-$F$1)*(C38+D38)</f>
        <v>91621.8720449856</v>
      </c>
      <c r="D39" s="15" t="n">
        <f aca="false">$F$2*(C39-C38) + (1-$F$2)*D38</f>
        <v>741.702266340427</v>
      </c>
      <c r="E39" s="14" t="n">
        <f aca="false">$F$3*(B39/C39) + (1-$F$3)*E27</f>
        <v>0.994700900170156</v>
      </c>
      <c r="F39" s="13" t="n">
        <f aca="false">(C38+D38)*E27</f>
        <v>100693.309588616</v>
      </c>
    </row>
    <row r="40" customFormat="false" ht="15" hidden="false" customHeight="false" outlineLevel="0" collapsed="false">
      <c r="A40" s="8" t="n">
        <f aca="false">Data!A35</f>
        <v>45931</v>
      </c>
      <c r="B40" s="13" t="n">
        <f aca="false">Data!B35</f>
        <v>103604.83</v>
      </c>
      <c r="C40" s="13" t="n">
        <f aca="false">$F$1*(B40/E28) + (1-$F$1)*(C39+D39)</f>
        <v>91856.7601631848</v>
      </c>
      <c r="D40" s="15" t="n">
        <f aca="false">$F$2*(C40-C39) + (1-$F$2)*D39</f>
        <v>691.020851526312</v>
      </c>
      <c r="E40" s="14" t="n">
        <f aca="false">$F$3*(B40/C40) + (1-$F$3)*E28</f>
        <v>1.13819249185716</v>
      </c>
      <c r="F40" s="13" t="n">
        <f aca="false">(C39+D39)*E28</f>
        <v>105535.125396043</v>
      </c>
    </row>
    <row r="41" customFormat="false" ht="15" hidden="false" customHeight="false" outlineLevel="0" collapsed="false">
      <c r="A41" s="8" t="n">
        <f aca="false">Data!A36</f>
        <v>45962</v>
      </c>
      <c r="B41" s="13" t="n">
        <f aca="false">Data!B36</f>
        <v>120134.93</v>
      </c>
      <c r="C41" s="13" t="n">
        <f aca="false">$F$1*(B41/E29) + (1-$F$1)*(C40+D40)</f>
        <v>90562.9065872554</v>
      </c>
      <c r="D41" s="15" t="n">
        <f aca="false">$F$2*(C41-C40) + (1-$F$2)*D40</f>
        <v>492.53340878074</v>
      </c>
      <c r="E41" s="14" t="n">
        <f aca="false">$F$3*(B41/C41) + (1-$F$3)*E29</f>
        <v>1.37658227665871</v>
      </c>
      <c r="F41" s="13" t="n">
        <f aca="false">(C40+D40)*E29</f>
        <v>129384.64863411</v>
      </c>
    </row>
    <row r="42" customFormat="false" ht="15" hidden="false" customHeight="false" outlineLevel="0" collapsed="false">
      <c r="A42" s="8" t="n">
        <f aca="false">Data!A37</f>
        <v>45992</v>
      </c>
      <c r="B42" s="13" t="n">
        <f aca="false">Data!B37</f>
        <v>154936.94</v>
      </c>
      <c r="C42" s="13" t="n">
        <f aca="false">$F$1*(B42/E30) + (1-$F$1)*(C41+D41)</f>
        <v>90743.6190730641</v>
      </c>
      <c r="D42" s="15" t="n">
        <f aca="false">$F$2*(C42-C41) + (1-$F$2)*D41</f>
        <v>461.351316483529</v>
      </c>
      <c r="E42" s="14" t="n">
        <f aca="false">$F$3*(B42/C42) + (1-$F$3)*E30</f>
        <v>1.71707464656689</v>
      </c>
      <c r="F42" s="13" t="n">
        <f aca="false">(C41+D41)*E30</f>
        <v>156725.976016493</v>
      </c>
    </row>
    <row r="43" customFormat="false" ht="15" hidden="false" customHeight="false" outlineLevel="0" collapsed="false">
      <c r="A43" s="8" t="n">
        <f aca="false">DATE(YEAR(A42), MONTH(A42)+1, 1)</f>
        <v>46023</v>
      </c>
      <c r="G43" s="13" t="n">
        <f aca="false">($C$42 + 1*$D$42) * E31</f>
        <v>73341.6331610971</v>
      </c>
      <c r="H43" s="13" t="n">
        <f aca="false">G43 - 1.96*$B$55</f>
        <v>71026.1920024231</v>
      </c>
      <c r="I43" s="13" t="n">
        <f aca="false">G43 + 1.96*$B$55</f>
        <v>75657.0743197711</v>
      </c>
    </row>
    <row r="44" customFormat="false" ht="15" hidden="false" customHeight="false" outlineLevel="0" collapsed="false">
      <c r="A44" s="8" t="n">
        <f aca="false">DATE(YEAR(A42), MONTH(A42)+2, 1)</f>
        <v>46054</v>
      </c>
      <c r="G44" s="13" t="n">
        <f aca="false">($C$42 + 2*$D$42) * E32</f>
        <v>67029.8566408309</v>
      </c>
      <c r="H44" s="13" t="n">
        <f aca="false">G44 - 1.96*$B$55</f>
        <v>64714.4154821569</v>
      </c>
      <c r="I44" s="13" t="n">
        <f aca="false">G44 + 1.96*$B$55</f>
        <v>69345.2977995048</v>
      </c>
    </row>
    <row r="45" customFormat="false" ht="15" hidden="false" customHeight="false" outlineLevel="0" collapsed="false">
      <c r="A45" s="8" t="n">
        <f aca="false">DATE(YEAR(A42), MONTH(A42)+3, 1)</f>
        <v>46082</v>
      </c>
      <c r="G45" s="13" t="n">
        <f aca="false">($C$42 + 3*$D$42) * E33</f>
        <v>79343.8640508562</v>
      </c>
      <c r="H45" s="13" t="n">
        <f aca="false">G45 - 1.96*$B$55</f>
        <v>77028.4228921822</v>
      </c>
      <c r="I45" s="13" t="n">
        <f aca="false">G45 + 1.96*$B$55</f>
        <v>81659.3052095302</v>
      </c>
    </row>
    <row r="46" customFormat="false" ht="15" hidden="false" customHeight="false" outlineLevel="0" collapsed="false">
      <c r="A46" s="8" t="n">
        <f aca="false">DATE(YEAR(A42), MONTH(A42)+4, 1)</f>
        <v>46113</v>
      </c>
      <c r="G46" s="13" t="n">
        <f aca="false">($C$42 + 4*$D$42) * E34</f>
        <v>86344.5059768608</v>
      </c>
      <c r="H46" s="13" t="n">
        <f aca="false">G46 - 1.96*$B$55</f>
        <v>84029.0648181868</v>
      </c>
      <c r="I46" s="13" t="n">
        <f aca="false">G46 + 1.96*$B$55</f>
        <v>88659.9471355348</v>
      </c>
    </row>
    <row r="47" customFormat="false" ht="15" hidden="false" customHeight="false" outlineLevel="0" collapsed="false">
      <c r="A47" s="8" t="n">
        <f aca="false">DATE(YEAR(A42), MONTH(A42)+5, 1)</f>
        <v>46143</v>
      </c>
      <c r="G47" s="13" t="n">
        <f aca="false">($C$42 + 5*$D$42) * E35</f>
        <v>83045.3554558735</v>
      </c>
      <c r="H47" s="13" t="n">
        <f aca="false">G47 - 1.96*$B$55</f>
        <v>80729.9142971995</v>
      </c>
      <c r="I47" s="13" t="n">
        <f aca="false">G47 + 1.96*$B$55</f>
        <v>85360.7966145475</v>
      </c>
    </row>
    <row r="48" customFormat="false" ht="15" hidden="false" customHeight="false" outlineLevel="0" collapsed="false">
      <c r="A48" s="8" t="n">
        <f aca="false">DATE(YEAR(A42), MONTH(A42)+6, 1)</f>
        <v>46174</v>
      </c>
      <c r="G48" s="13" t="n">
        <f aca="false">($C$42 + 6*$D$42) * E36</f>
        <v>74688.47057353</v>
      </c>
      <c r="H48" s="13" t="n">
        <f aca="false">G48 - 1.96*$B$55</f>
        <v>72373.0294148561</v>
      </c>
      <c r="I48" s="13" t="n">
        <f aca="false">G48 + 1.96*$B$55</f>
        <v>77003.911732204</v>
      </c>
    </row>
    <row r="49" customFormat="false" ht="15" hidden="false" customHeight="false" outlineLevel="0" collapsed="false">
      <c r="A49" s="8" t="n">
        <f aca="false">DATE(YEAR(A42), MONTH(A42)+7, 1)</f>
        <v>46204</v>
      </c>
      <c r="G49" s="13" t="n">
        <f aca="false">($C$42 + 7*$D$42) * E37</f>
        <v>77619.6448622258</v>
      </c>
      <c r="H49" s="13" t="n">
        <f aca="false">G49 - 1.96*$B$55</f>
        <v>75304.2037035518</v>
      </c>
      <c r="I49" s="13" t="n">
        <f aca="false">G49 + 1.96*$B$55</f>
        <v>79935.0860208998</v>
      </c>
    </row>
    <row r="50" customFormat="false" ht="15" hidden="false" customHeight="false" outlineLevel="0" collapsed="false">
      <c r="A50" s="8" t="n">
        <f aca="false">DATE(YEAR(A42), MONTH(A42)+8, 1)</f>
        <v>46235</v>
      </c>
      <c r="G50" s="13" t="n">
        <f aca="false">($C$42 + 8*$D$42) * E38</f>
        <v>75529.8880009718</v>
      </c>
      <c r="H50" s="13" t="n">
        <f aca="false">G50 - 1.96*$B$55</f>
        <v>73214.4468422978</v>
      </c>
      <c r="I50" s="13" t="n">
        <f aca="false">G50 + 1.96*$B$55</f>
        <v>77845.3291596458</v>
      </c>
    </row>
    <row r="51" customFormat="false" ht="15" hidden="false" customHeight="false" outlineLevel="0" collapsed="false">
      <c r="A51" s="8" t="n">
        <f aca="false">DATE(YEAR(A42), MONTH(A42)+9, 1)</f>
        <v>46266</v>
      </c>
      <c r="G51" s="13" t="n">
        <f aca="false">($C$42 + 9*$D$42) * E39</f>
        <v>94392.9187048822</v>
      </c>
      <c r="H51" s="13" t="n">
        <f aca="false">G51 - 1.96*$B$55</f>
        <v>92077.4775462082</v>
      </c>
      <c r="I51" s="13" t="n">
        <f aca="false">G51 + 1.96*$B$55</f>
        <v>96708.3598635562</v>
      </c>
    </row>
    <row r="52" customFormat="false" ht="15" hidden="false" customHeight="false" outlineLevel="0" collapsed="false">
      <c r="A52" s="8" t="n">
        <f aca="false">DATE(YEAR(A42), MONTH(A42)+10, 1)</f>
        <v>46296</v>
      </c>
      <c r="G52" s="13" t="n">
        <f aca="false">($C$42 + 10*$D$42) * E40</f>
        <v>108534.771958208</v>
      </c>
      <c r="H52" s="13" t="n">
        <f aca="false">G52 - 1.96*$B$55</f>
        <v>106219.330799534</v>
      </c>
      <c r="I52" s="13" t="n">
        <f aca="false">G52 + 1.96*$B$55</f>
        <v>110850.213116882</v>
      </c>
    </row>
    <row r="53" customFormat="false" ht="15" hidden="false" customHeight="false" outlineLevel="0" collapsed="false">
      <c r="A53" s="8" t="n">
        <f aca="false">DATE(YEAR(A42), MONTH(A42)+11, 1)</f>
        <v>46327</v>
      </c>
      <c r="G53" s="13" t="n">
        <f aca="false">($C$42 + 11*$D$42) * E41</f>
        <v>131902.026237277</v>
      </c>
      <c r="H53" s="13" t="n">
        <f aca="false">G53 - 1.96*$B$55</f>
        <v>129586.585078603</v>
      </c>
      <c r="I53" s="13" t="n">
        <f aca="false">G53 + 1.96*$B$55</f>
        <v>134217.467395951</v>
      </c>
    </row>
    <row r="54" customFormat="false" ht="15" hidden="false" customHeight="false" outlineLevel="0" collapsed="false">
      <c r="A54" s="8" t="n">
        <f aca="false">DATE(YEAR(A42), MONTH(A42)+12, 1)</f>
        <v>46357</v>
      </c>
      <c r="G54" s="13" t="n">
        <f aca="false">($C$42 + 12*$D$42) * E42</f>
        <v>165319.663432411</v>
      </c>
      <c r="H54" s="13" t="n">
        <f aca="false">G54 - 1.96*$B$55</f>
        <v>163004.222273737</v>
      </c>
      <c r="I54" s="13" t="n">
        <f aca="false">G54 + 1.96*$B$55</f>
        <v>167635.104591085</v>
      </c>
    </row>
    <row r="55" customFormat="false" ht="15" hidden="false" customHeight="false" outlineLevel="0" collapsed="false">
      <c r="A55" s="16" t="s">
        <v>43</v>
      </c>
      <c r="B55" s="13" t="n">
        <f aca="false">STDEV(B19:B42)*0.05</f>
        <v>1181.34752993571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2026-05-11T12:27:25Z</dcterms:created>
  <dc:creator>openpyxl</dc:creator>
  <dc:description/>
  <dc:language>en-US</dc:language>
  <cp:lastModifiedBy/>
  <dcterms:modified xsi:type="dcterms:W3CDTF">2026-05-11T12:27:34Z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